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8" windowWidth="15120" windowHeight="8016" activeTab="0"/>
  </bookViews>
  <sheets>
    <sheet name="приложение 3" sheetId="3" r:id="rId1"/>
    <sheet name="приложение 4" sheetId="1" r:id="rId2"/>
    <sheet name="приложение 5" sheetId="2" r:id="rId3"/>
  </sheets>
  <definedNames>
    <definedName name="_xlnm.Print_Area" localSheetId="0">'приложение 3'!$A$1:$F$64</definedName>
    <definedName name="_xlnm.Print_Area" localSheetId="1">'приложение 4'!$A$1:$I$858</definedName>
    <definedName name="_xlnm.Print_Area" localSheetId="2">'приложение 5'!$A$1:$H$297</definedName>
    <definedName name="_xlnm.Print_Titles" localSheetId="0">'приложение 3'!$15:$16</definedName>
    <definedName name="_xlnm.Print_Titles" localSheetId="1">'приложение 4'!$20:$21</definedName>
    <definedName name="_xlnm.Print_Titles" localSheetId="2">'приложение 5'!$15:$16</definedName>
  </definedNames>
  <calcPr calcId="125725"/>
</workbook>
</file>

<file path=xl/sharedStrings.xml><?xml version="1.0" encoding="utf-8"?>
<sst xmlns="http://schemas.openxmlformats.org/spreadsheetml/2006/main" count="3265" uniqueCount="608">
  <si>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</si>
  <si>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</si>
  <si>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</si>
  <si>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</si>
  <si>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Раздел-подраздел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</si>
  <si>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</si>
  <si>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</si>
  <si>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</si>
  <si>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</si>
  <si>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</si>
  <si>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</si>
  <si>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</si>
  <si>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</si>
  <si>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 xml:space="preserve">Ведомственная структура расходов районного бюджета </t>
  </si>
  <si>
    <t>Сумма на          2017 год</t>
  </si>
  <si>
    <t>Сумма на          2018 год</t>
  </si>
  <si>
    <t>Финансово-экономическое управление администрации Мотыгинского района</t>
  </si>
  <si>
    <t>0 94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</si>
  <si>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</si>
  <si>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01 06</t>
  </si>
  <si>
    <t xml:space="preserve">Муниципальная программа Мотыгинского района "Управление муниципальными финансами" </t>
  </si>
  <si>
    <t>Подпрограмма "Обеспечение реализации муниципальной программы и прочие мероприятия"</t>
  </si>
  <si>
    <t>0 520000000</t>
  </si>
  <si>
    <t>0 500000000</t>
  </si>
  <si>
    <t>0 520000210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</si>
  <si>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</si>
  <si>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</si>
  <si>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</si>
  <si>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органов исполнительной власти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</si>
  <si>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</t>
  </si>
  <si>
    <t>Межбюджетные трансферты</t>
  </si>
  <si>
    <t>Субвенции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</si>
  <si>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</si>
  <si>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</si>
  <si>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Национальная оборона</t>
  </si>
  <si>
    <t>Мобилизационная и вневойсковая подготовка</t>
  </si>
  <si>
    <t>Непрограммные расходы отдельных органов исполнительной власти</t>
  </si>
  <si>
    <t>Осуществление первичного воинского учета на территориях, где отсутствуют военные комиссариаты, по министерству финансов Красноярского края в рамках непрограммных расходов отдельных органов исполнительной власти</t>
  </si>
  <si>
    <t>Национальная экономика</t>
  </si>
  <si>
    <t>Общеэкономические вопросы</t>
  </si>
  <si>
    <t>Муниципальная программа "Содействие занятости населения Мотыгинского района"</t>
  </si>
  <si>
    <t>Организация временного трудоустройства несовершеннолетних граждан  в возрасте от 14 до 18 лет в свободное от учебы время</t>
  </si>
  <si>
    <t>Иные межбюджетные трансферты</t>
  </si>
  <si>
    <t>Организация общественных и временных работ</t>
  </si>
  <si>
    <t>Дотации на выравнивание бюджетной обеспеченности субъектов Российской Федерации и муниципальных образований</t>
  </si>
  <si>
    <t>Муниципальная программа "Управление муниципальными финансами Мотыгинского района"</t>
  </si>
  <si>
    <t>Подпрограмма " Создание условий для эффективного и ответственного управления муниципальными финансами, повышение устойчивости бюджетов муниципальных образований Мотыгинского района"</t>
  </si>
  <si>
    <t>0 510000000</t>
  </si>
  <si>
    <t>Предоставление дотаций на выравнивание бюджетной обеспеченности муниципальных образований Мотыгинского района из регионального фонда финансовой поддержки за счет средств краевого бюджета</t>
  </si>
  <si>
    <t>0 510076010</t>
  </si>
  <si>
    <t>Дотации</t>
  </si>
  <si>
    <t>Предоставление дотаций на выравнивание бюджетной обеспеченности муниципальных образований Мотыгинского района из регионального фонда финансовой поддержки за счет средств районного  бюджета</t>
  </si>
  <si>
    <t>0 510050010</t>
  </si>
  <si>
    <t>Прочие межбюджетные трансферты общего характера</t>
  </si>
  <si>
    <t>Иной межбюджетный трансферт на поддержку мер по обеспечению сбалансированности бюджетов муниципальных образований Мотыгинского района</t>
  </si>
  <si>
    <t>0 510050030</t>
  </si>
  <si>
    <t>Общегосударственные вопросы</t>
  </si>
  <si>
    <t>Администрация Мотыгинского района</t>
  </si>
  <si>
    <t>0 99</t>
  </si>
  <si>
    <t>01 00</t>
  </si>
  <si>
    <t>Муниципальная программа "Содействие развитию местного самоуправления"</t>
  </si>
  <si>
    <t>0 600000000</t>
  </si>
  <si>
    <t>0 610000000</t>
  </si>
  <si>
    <t>Руководство и управление в сфере установленных функций органов местного самоуправления в рамках подпрограммы "Повышение эффективности деятельности органов местного самоуправления в Мотыгинском районе""</t>
  </si>
  <si>
    <t>0 610000210</t>
  </si>
  <si>
    <t>Субвенция на выполнение государственных полномочий по созданию и обеспечению деятельности комиссий по делам несовершеннолетних и защите их прав</t>
  </si>
  <si>
    <t>Резервные фонды</t>
  </si>
  <si>
    <t>Иные бюджетные ассигнования</t>
  </si>
  <si>
    <t>Резервные средства</t>
  </si>
  <si>
    <t>Резервный фонд администрации</t>
  </si>
  <si>
    <t>Другие общегосударственные вопросы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</si>
  <si>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</si>
  <si>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( исполнительные листы)</t>
  </si>
  <si>
    <t>Исполнение судебных актов</t>
  </si>
  <si>
    <t>Субсидии бюджетам муниципальных образований на организацию и проведение акарицидных обработок мест массового отдыха населения</t>
  </si>
  <si>
    <t>Оценка недвижимости , признание прав и регулирование отношений по государственной и муниципальной собственности в рамках непрограммных расходов отдельных органов исполнительной власти</t>
  </si>
  <si>
    <t>Мероприятия по землеустройству и землепользованию  в рамках непрограммных расходов отдельных органов исполнительной власти</t>
  </si>
  <si>
    <t>Софинансирование к субсидии на проведение и организацию акарицидных обработок мест массового отдыха населения</t>
  </si>
  <si>
    <t>91700S5550</t>
  </si>
  <si>
    <t>Муниципальная программа " Обеспечение доступным и комфортным жильем в Мотыгинском районе"</t>
  </si>
  <si>
    <t>Отдельное мероприятие программы</t>
  </si>
  <si>
    <t>Субвенция бюджетам муниципальных образований на 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</t>
  </si>
  <si>
    <t>Транспорт</t>
  </si>
  <si>
    <t>Сельское хозяйство и рыболовство</t>
  </si>
  <si>
    <t>Муниципальная программа "Развитие инвестиционной, инновационной деятельности малого и среднего предпринимательства в Мотыгинском районе"</t>
  </si>
  <si>
    <t>0 900000000</t>
  </si>
  <si>
    <t>Субвенции бюджетам муниципальных районов на выполнение отдельных государственных полномочий по решению вопросов поддержки сельскохозяйственного производства</t>
  </si>
  <si>
    <t>Муниципальная программа "Развитие транспортной системы в Мотыгинском районе"</t>
  </si>
  <si>
    <t>Подпрограмма "Развитие воздушного и автомобильного пассажирского транспорта."</t>
  </si>
  <si>
    <t>Предоставление субсидии   на компенсацию расходов возникающих в результате небольшой интенсивности пассажирских потоков, юридическим лицам независимо от организационно-правовой формы, индивидуальным предпринимателям, осуществляющим регулярные пассажирские перевозки по муниципальным маршрутам  в рамках подпрограммы "Развитие воздушного и автомобильного пассажирского транспорта."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</si>
  <si>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</si>
  <si>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Дорожное хозяйство</t>
  </si>
  <si>
    <t>Подпрограмма "Безопасность дорожного движения в Мотыгинском районе"</t>
  </si>
  <si>
    <t>Другие вопросы в области национальной экономики</t>
  </si>
  <si>
    <t>Оказание финансовой поддержки субъектам малого и среднего предпринимательства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</si>
  <si>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</si>
  <si>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</si>
  <si>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 xml:space="preserve">Субвенции бюджетам муниципальных образований на выполнение государственных полномочий по организации проведения мероприятий по отлову и содержанию безнадзорных животных </t>
  </si>
  <si>
    <t>Жилищно-коммунальное хозяйство</t>
  </si>
  <si>
    <t xml:space="preserve">Коммунальное хозяйство </t>
  </si>
  <si>
    <t>Муниципальная программа "Реформирование и модернизация жилищно-коммунального хозяйства и повышения энергетической эффективности"</t>
  </si>
  <si>
    <t>0 700000000</t>
  </si>
  <si>
    <t>Отдельные мероприятия</t>
  </si>
  <si>
    <t>0 790000000</t>
  </si>
  <si>
    <t>0 790075770</t>
  </si>
  <si>
    <t>0 790075700</t>
  </si>
  <si>
    <t>Образование</t>
  </si>
  <si>
    <t>Другие вопросы в области образования</t>
  </si>
  <si>
    <t>Муниципальная  программа Мотыгинского района «Развитие общего и дополнительного образования в Мотыгинском районе »</t>
  </si>
  <si>
    <t>Подпрограмма «Обеспечение реализации муниципальной программы"</t>
  </si>
  <si>
    <t>0 300000000</t>
  </si>
  <si>
    <t>0 340000000</t>
  </si>
  <si>
    <t>0 340075520</t>
  </si>
  <si>
    <t>Муниципальная программа " Обеспечение доступным и комфортным жильем в Мотыгинском районе "</t>
  </si>
  <si>
    <t>Подпрограмма "Обеспечение жилыми помещениями детей-сирот и детей, оставшихся без попечения родителей, лиц из числа детей сирот и детей оставшихся без попечения родителей"</t>
  </si>
  <si>
    <t>Охрана семьи и детства</t>
  </si>
  <si>
    <t>10 04</t>
  </si>
  <si>
    <t>Социальная политика</t>
  </si>
  <si>
    <t>10 00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</si>
  <si>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</si>
  <si>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</si>
  <si>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12500R0820</t>
  </si>
  <si>
    <t>Муниципальное казенное учреждение "Мотыгинский районный архив"</t>
  </si>
  <si>
    <t xml:space="preserve">Другие общегосударственные вопросы </t>
  </si>
  <si>
    <t>Муниципальная программа "Развитие культуры"</t>
  </si>
  <si>
    <t>Подпрограмма "Развитие архивного дела в Мотыгинском районе"</t>
  </si>
  <si>
    <t>0 200000000</t>
  </si>
  <si>
    <t>0 220000000</t>
  </si>
  <si>
    <t>Обеспечение деятельности архивного фонда в Мотыгинском районе</t>
  </si>
  <si>
    <t>0 220000610</t>
  </si>
  <si>
    <t>Расходы на выплаты персоналу казенных учреждений</t>
  </si>
  <si>
    <t>Субвенции бюджетам муниципальных образований на осуществление государственных полномочий в области архивного дела</t>
  </si>
  <si>
    <t>0 220075190</t>
  </si>
  <si>
    <t>Муниципальное казённое учреждение "Управление образования Мотыгинского района"</t>
  </si>
  <si>
    <t>Муниципальное казенное учреждение Управление культуры Мотыгинского района</t>
  </si>
  <si>
    <t>Общее образование</t>
  </si>
  <si>
    <t>Подпрограмма "Обеспечение условий реализации муниципальной программы и прочие мероприятия"</t>
  </si>
  <si>
    <t>0 240000000</t>
  </si>
  <si>
    <t>Обеспечение деятельности (оказание услуг) подведомственных учреждений</t>
  </si>
  <si>
    <t>0 240000610</t>
  </si>
  <si>
    <t>Субсидии бюджетным учреждениям</t>
  </si>
  <si>
    <t>Субсидии бюджетным учреждениям на иные цели</t>
  </si>
  <si>
    <t>Культура, кинематография</t>
  </si>
  <si>
    <t>Культура</t>
  </si>
  <si>
    <t>Подпрограмма "Культурное наследие"</t>
  </si>
  <si>
    <t>0 210000000</t>
  </si>
  <si>
    <t>Обеспечение деятельности (оказание услуг) подведомственных учреждений  (развитие библиотечного дела) в рамках подпрограммы "Культурное наследие"</t>
  </si>
  <si>
    <t>0 210000610</t>
  </si>
  <si>
    <t>Подпрограмма "Искусство и народное творчество"</t>
  </si>
  <si>
    <t>0 230000000</t>
  </si>
  <si>
    <t>Обеспечение деятельности (оказание услуг) подведомственных учреждений (театр) в рамках подпрограммы "Искусство и народное творчество"</t>
  </si>
  <si>
    <t>0 230000640</t>
  </si>
  <si>
    <t>Обеспечение деятельности (оказание услуг) подведомственных учреждений (музей) в рамках подпрограммы "Культурное наследие"</t>
  </si>
  <si>
    <t>Молодежная политика и оздоровление детей</t>
  </si>
  <si>
    <t>Содержание МБУ "Молодежный центр Мотыгинского района"</t>
  </si>
  <si>
    <t>Муниципальная программа "Молодежь Мотыгинского района в ХХ1 веке"</t>
  </si>
  <si>
    <t>Подпрограмма «Развитие системного подхода к проведению спортивно-массовых, культурно-досуговых, военно-патриотических и других мероприятий для подростков и молодежи "</t>
  </si>
  <si>
    <t>0 400000000</t>
  </si>
  <si>
    <t>0 420000000</t>
  </si>
  <si>
    <t>0 420000610</t>
  </si>
  <si>
    <t>Обеспечение деятельности (оказание услуг) подведомственных учреждений (СКЦ) в рамках подпрограммы "Искусство и народное творчество"</t>
  </si>
  <si>
    <t>0 230000650</t>
  </si>
  <si>
    <t>0 210000620</t>
  </si>
  <si>
    <t>Обеспечение деятельности (оказание услуг) подведомственных учреждений (мбс) в рамках подпрограммы "Культурное наследие"</t>
  </si>
  <si>
    <t>0 210000630</t>
  </si>
  <si>
    <t>Осуществление части полномочий по обеспечению населения услугами по организации досуга и услугами организации культуры</t>
  </si>
  <si>
    <t>0 230000690</t>
  </si>
  <si>
    <t>Другие вопросы в области культуры, кинематографии</t>
  </si>
  <si>
    <t>Руководство и управление в сфере установленных функций органов местного самоуправления</t>
  </si>
  <si>
    <t>Комплектование книжных фондов библиотек муниципального образования Мотыгинский район</t>
  </si>
  <si>
    <t>0 240000660</t>
  </si>
  <si>
    <t>Софинансирование мероприятий  по комплектованию книжных фондов библиотек муниципального образования Мотыгинский район</t>
  </si>
  <si>
    <t>0 2400L1440</t>
  </si>
  <si>
    <t>0 2400S4880</t>
  </si>
  <si>
    <t>Управление социальной защиты населения администрации Мотыгинского района</t>
  </si>
  <si>
    <t>Муниципальное казённое учреждение "Единая дежурно-диспетчерская служба" Мотыгинского района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</si>
  <si>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</si>
  <si>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</si>
  <si>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"Обеспечение предупреждения возникновения и развития чрезвычайных ситуаций природного и техногенного характера"</t>
  </si>
  <si>
    <t>0 800000000</t>
  </si>
  <si>
    <t>0 820000000</t>
  </si>
  <si>
    <t>Обеспечение деятельности подведомственных учреждений в рамках подпрограммы "Обеспечение предупреждения возникновения и развития чрезвычайных ситуаций природного и техногенного характера</t>
  </si>
  <si>
    <t>0 820000610</t>
  </si>
  <si>
    <t>Контрольно-счетный орган Мотыгинского района</t>
  </si>
  <si>
    <t xml:space="preserve">Руководство и управление в сфере установленных функций органов исполнительной власти </t>
  </si>
  <si>
    <t>Мотыгинский районный Совет депутатов</t>
  </si>
  <si>
    <t>01 13</t>
  </si>
  <si>
    <t>Обеспечение деятельности подведомственных учреждений в рамках подпрограммы "Оказание муниципальных услуг, выполнение работ и исполнение муниципальных функций по вопросам деятельности органов местного самоуправления"</t>
  </si>
  <si>
    <t>Муниципальное казенное учреждение "Централизованная бухгалтерия муниципального образования Мотыгинский район"</t>
  </si>
  <si>
    <t xml:space="preserve">Муниципальная программа Мотыгинского района "Содействие развитию местного самоуправления" </t>
  </si>
  <si>
    <t>Подпрограмма "Организация  планирования показателей деятельности, осуществление бухгалтерского учета, исполнение смет и планов ФХД, налогового учета и отчетности"</t>
  </si>
  <si>
    <t>0 620000000</t>
  </si>
  <si>
    <t>0 620000610</t>
  </si>
  <si>
    <t>Субсидии бюджетам муниципальных образований края на поддержку деятельности муниципальных молодежных центров на 2016 год и плановый период 2017-2018 годов</t>
  </si>
  <si>
    <t>0 420074560</t>
  </si>
  <si>
    <t>Софинансирование мероприятий субсидии бюджетам муниципальных образований края на поддержку деятельности муниципальных молодежных центров на 2016 год и плановый период 2017-2018 годов</t>
  </si>
  <si>
    <t>0 4200S4560</t>
  </si>
  <si>
    <t>Пенсионное обеспечение</t>
  </si>
  <si>
    <t>10 01</t>
  </si>
  <si>
    <t>Муниципальная программа "Система социальной защиты и социального обслуживания населения Мотыгинского района ".</t>
  </si>
  <si>
    <t>Подпрограмма "Обеспечение реализации муниципальных программ""</t>
  </si>
  <si>
    <t>0 100000000</t>
  </si>
  <si>
    <t>0 150000000</t>
  </si>
  <si>
    <t>Исполнение полномочий района по предоставлению выплаты пенсий за выслугу лет лицам, замещавшим муниципальные должности муниципальной службы.</t>
  </si>
  <si>
    <t>0 150001110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</si>
  <si>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</si>
  <si>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</si>
  <si>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обслуживание населения</t>
  </si>
  <si>
    <t>10 02</t>
  </si>
  <si>
    <t>Подпрограмма "Повышение качества и доступности социальных услуг населению""</t>
  </si>
  <si>
    <t>0 140000000</t>
  </si>
  <si>
    <t>Субвенции бюджетам муниципальных образований края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</t>
  </si>
  <si>
    <t>0 140001510</t>
  </si>
  <si>
    <t>Социальное обеспечение населения</t>
  </si>
  <si>
    <t>10 03</t>
  </si>
  <si>
    <t>Подпрограмма "Социальная поддержка семей, имеющих детей"</t>
  </si>
  <si>
    <t>0 120000000</t>
  </si>
  <si>
    <t>Субвенции бюджетам муниципальных образований края на финансирование расходов, связанных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</t>
  </si>
  <si>
    <t>Другие вопросы в области социальной политики</t>
  </si>
  <si>
    <t>Руководство и управление в сфере установленных функций органов управления социальной защиты населения Мотыгинского района.</t>
  </si>
  <si>
    <t>0 150000210</t>
  </si>
  <si>
    <t>Уплата налогов, сборов и иных платежей</t>
  </si>
  <si>
    <t>Расходы на выполнение функций районного бюджета</t>
  </si>
  <si>
    <t>0 150000060</t>
  </si>
  <si>
    <t>Подпрограмма «Повышение качества жизни отдельных категорий граждан в т.ч. инвалидов, степени их социальной защищенности"</t>
  </si>
  <si>
    <t>0 110000000</t>
  </si>
  <si>
    <t>0 110080010</t>
  </si>
  <si>
    <t>0 110080020</t>
  </si>
  <si>
    <t>Социальные выплаты гражданам, кроме публичных нормативных социальных выплат</t>
  </si>
  <si>
    <t>Организация сопровождения одиноких пенсионеров в стационарные учреждения</t>
  </si>
  <si>
    <t>0 140000070</t>
  </si>
  <si>
    <t>Всего</t>
  </si>
  <si>
    <t>Раздел, подраздел</t>
  </si>
  <si>
    <t>Наименование показателя бюджетной классификации</t>
  </si>
  <si>
    <t>Сумма на 2018 год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</si>
  <si>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</si>
  <si>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</si>
  <si>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</si>
  <si>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</si>
  <si>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</si>
  <si>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</si>
  <si>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 xml:space="preserve"> Общеэкономические вопросы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</si>
  <si>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</si>
  <si>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</si>
  <si>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</si>
  <si>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</si>
  <si>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0502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</si>
  <si>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</si>
  <si>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</si>
  <si>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</si>
  <si>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</si>
  <si>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КУЛЬТУРА, КИНЕМАТОГРАФИЯ</t>
  </si>
  <si>
    <t>СОЦИАЛЬНАЯ ПОЛИТИКА</t>
  </si>
  <si>
    <t>МЕЖБЮДЖЕТНЫЕ ТРАНСФЕРТЫ ОБЩЕГО ХАРАКТЕРА БЮДЖЕТАМ БЮДЖЕТНОЙ СИСТЕМЫ РОССИЙСКОЙ ФЕДЕРАЦИИ</t>
  </si>
  <si>
    <t>Условно утвержденные расходы</t>
  </si>
  <si>
    <t>ВСЕГО</t>
  </si>
  <si>
    <t/>
  </si>
  <si>
    <t>Муниципальная программа "Система социальной защиты и социального обслуживания населения Мотыгинского района "</t>
  </si>
  <si>
    <t>Подпрограмма "Обеспечение социальной поддержки граждан на оплату жилого помещения и коммунальных услуг."</t>
  </si>
  <si>
    <t>0 130000000</t>
  </si>
  <si>
    <t>Муниципальная программа Мотыгинского района «Развитие общего и дополнительного образования в Мотыгинском районе »</t>
  </si>
  <si>
    <t>Подпрограмма "Развитие дошкольного образования"</t>
  </si>
  <si>
    <t>0 310000000</t>
  </si>
  <si>
    <t>Подпрограмма «Развитие  общего образования»</t>
  </si>
  <si>
    <t>0 320000000</t>
  </si>
  <si>
    <t>Подпрограмма «Развитие дополнительного образования детей»</t>
  </si>
  <si>
    <t>0 330000000</t>
  </si>
  <si>
    <t>Подпрограмма «Поддержка основных направлений реализации государственной молодежной политики на территории Мотыгинского района "</t>
  </si>
  <si>
    <t>Подпрограмма «Развитие системного подхода к проведению спортивно-массовых, культурно-досуговых, военно-патриотических и других мероприятий для подростков и молодежи."</t>
  </si>
  <si>
    <t>0 410000000</t>
  </si>
  <si>
    <t>Муниципальная программа " Содействие развитию местного самоуправления"</t>
  </si>
  <si>
    <t>0 710000000</t>
  </si>
  <si>
    <t>Подпрограмма " Энергосбережение и повышение энергетической эффективности в Мотыгинском районе"</t>
  </si>
  <si>
    <t xml:space="preserve">Подпрограмма "Повышение устойчивости и перспективное развитие коммунальной инфраструктуры Мотыгинского района" </t>
  </si>
  <si>
    <t>0 720000000</t>
  </si>
  <si>
    <t>0 730000000</t>
  </si>
  <si>
    <t>Отдельные мероприятия программы</t>
  </si>
  <si>
    <t>Муниципальная программа "Защита населения и территорий Мотыгинского района от чрезвычайных ситуаций природного и техногенного характера."</t>
  </si>
  <si>
    <t>Муниципальная программа "Строительство объектов социальной сферы, жилого фонда и коммунальной инфраструктуры в Мотыгинском районе".</t>
  </si>
  <si>
    <t>Подпрограмма " Строительство полигонов твердых бытовых отходов на территории Мотыгинского района".</t>
  </si>
  <si>
    <t>Подпрограмма " Строительство объектов социальной сферы, жилищного фонда и коммунальной инфраструктуры в Мотыгинском районе"</t>
  </si>
  <si>
    <t>Муниципальная программа "Развитие транспортной системы в Мотыгинском районе".</t>
  </si>
  <si>
    <t>04 08</t>
  </si>
  <si>
    <t>Подпрограмма "Безопасность дорожного движения в Мотыгинском районе "</t>
  </si>
  <si>
    <t>Подпрограмма "Содержание автомобильных дорог общего пользования местного значения городских и сельских поселений"</t>
  </si>
  <si>
    <t>Муниципальная программа "Обеспечение доступным и комфортным жильем жителей Мотыгинского района"</t>
  </si>
  <si>
    <t>Подпрограмма "Переселение граждан из аварийного жилищного фонда в Мотыгинском районе"</t>
  </si>
  <si>
    <t>Подпрограмма "Обеспечение жильем молодых семей в Мотыгинском районе"</t>
  </si>
  <si>
    <t>Подпрограмма "Территориальное планирование, градостроительное зонирование и документация по планировке территории Мотыгинского района"</t>
  </si>
  <si>
    <t>Подпрограмма " Обеспечение работников органов местного самоуправления, муниципальных предприятий и учреждений Мотыгинского района служебным жильем за счет средств бюджета муниципального образования"</t>
  </si>
  <si>
    <t>Подпрограмма "Обеспечение жилыми помещениями детей-сирот и детей, оставшихся без попечения родителей, лиц из числа детей сирот и детей оставшихся без попечения родителей "</t>
  </si>
  <si>
    <t xml:space="preserve">Отдельные мероприятия </t>
  </si>
  <si>
    <t>Муниципальная программа "Содействие занятости населения Мотыгинского района".</t>
  </si>
  <si>
    <t>0 120080030</t>
  </si>
  <si>
    <t>Непрограммные расходы законодательного органа власти</t>
  </si>
  <si>
    <t>Председатель законодательного органа</t>
  </si>
  <si>
    <t xml:space="preserve">Депутаты законодательного органа </t>
  </si>
  <si>
    <t>Руководство и управление в сфере установленных функций органов государственной власти в рамках непрограммных расходов законодательного органа власти</t>
  </si>
  <si>
    <t>Глава муниципального образования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</si>
  <si>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</si>
  <si>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Обеспечение социальной выплаты участников подпрограммы</t>
  </si>
  <si>
    <t>0 310000610</t>
  </si>
  <si>
    <t>0 310074080</t>
  </si>
  <si>
    <t xml:space="preserve">Субвенции бюджетам муниципальных образований  на реализацию 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
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
без взимания родительской платы» на 2016 год и плановый период 2017 - 2018 годов </t>
  </si>
  <si>
    <t>0 320000610</t>
  </si>
  <si>
    <t>0 320074090</t>
  </si>
  <si>
    <t>0 320075640</t>
  </si>
  <si>
    <t>0 330000660</t>
  </si>
  <si>
    <t>Руководство и управление в сфере делегированных полномочий</t>
  </si>
  <si>
    <t>0 340000610</t>
  </si>
  <si>
    <t>Субвенции бюджетам муниципальных образований края на реализацию государственных полномочий по выплате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образования» на 2016 год и плановый период 2017-2018 годов</t>
  </si>
  <si>
    <t>0 340075560</t>
  </si>
  <si>
    <t>9 51</t>
  </si>
  <si>
    <t>Субвенции бюджетам муниципальных образований края на реализацию государственных полномочий по обеспечению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платы» на 2016 год и плановый период 2017 - 2018 годов</t>
  </si>
  <si>
    <t>0 320075660</t>
  </si>
  <si>
    <t>Приобретение путевок учащихся школ в загородные оздоровительные лагеря</t>
  </si>
  <si>
    <t>07 07</t>
  </si>
  <si>
    <t>0 320088220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</si>
  <si>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</si>
  <si>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</si>
  <si>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</si>
  <si>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</t>
  </si>
  <si>
    <t>Предоставление адресной материальной помощи пенсионерам, малообеспеченным, проведение мероприятий к Дню победы, социальная поддержка Совета ветеранов, приобретение открыток ко Дню победы, компенсация проезда, наборы для новорожденных</t>
  </si>
  <si>
    <t>Муниципальная программа Мотыгинского района "Защита населения и территорий Мотыгинского района от чрезвычайных ситуаций природного и техногенного характера"</t>
  </si>
  <si>
    <t>Руководство и управление в сфере установленных функций органов исполнительной власти в рамках подпрограммы «Обеспечение реализации муниципальной программы и прочие мероприятия» муниципальной  программы Мотыгинского района «Управление муниципальными финансами»</t>
  </si>
  <si>
    <t xml:space="preserve">Межбюджетные трансферты общего характера бюджетам бюджетной системы Российской федерации </t>
  </si>
  <si>
    <t xml:space="preserve">Субвенции бюджетам муниципальных образований на компенсацию выпадающих доходов энергосеабжающих организаций, связанных с применением государственных регулируемых цен (тарифов) на электрическую энергию, вырабатываемую дизельными электростанциями 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</si>
  <si>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</si>
  <si>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</si>
  <si>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Подпрограмма " Чистая вода в Мотыгинском районе"</t>
  </si>
  <si>
    <t>0 310075880</t>
  </si>
  <si>
    <t>0 310075540</t>
  </si>
  <si>
    <t>0 340088220</t>
  </si>
  <si>
    <t>Предоставление единовременной адресной материальной помощи гражданам находящихся в трудной жизненной ситуации в том числе оказание натуральной помощи</t>
  </si>
  <si>
    <t>Предоставление единовременной адресной материальной помощи гражданам находящихся в трудной жизненной ситуации, в том числе оказание натуральной помощи</t>
  </si>
  <si>
    <t>Предоставление адресной материальной помощи пенсионерам, малообеспеченным, проведение мероприятий к Дню победы, социальная поддержка Совета ветеранов, приобретение открыток ко Дню победы, компенсация проезда</t>
  </si>
  <si>
    <t>Предоставление материальной помощи по акции "Помоги пойти учиться", наборы для новорожденных</t>
  </si>
  <si>
    <t>0 630000000</t>
  </si>
  <si>
    <t>0 630000610</t>
  </si>
  <si>
    <t>Муниципальное казенное учреждение "Служба единого заказа  Мотыгинского района"</t>
  </si>
  <si>
    <t>Муниципальное казенное учреждение "Служба строительства  Мотыгинского района"</t>
  </si>
  <si>
    <t>Обеспечение деятельности подведомственных учреждений в рамках подпрограммы  "Обеспечение условий реализации муниципальной программы и прочие мероприятия"</t>
  </si>
  <si>
    <t>Муниципальное казенное учреждение "Отдел земельно-имущественных отношений  Мотыгинского района"</t>
  </si>
  <si>
    <t>Обеспечение деятельности подведомственных учреждений</t>
  </si>
  <si>
    <t>0 41000000</t>
  </si>
  <si>
    <t>0 410086010</t>
  </si>
  <si>
    <t>Гражданско-патриотическое воспитание молодежи</t>
  </si>
  <si>
    <t>Организация летнего отдыха, сезонной занятости и профессиональной ориентации подростков и молодежи</t>
  </si>
  <si>
    <t>0 420086040</t>
  </si>
  <si>
    <t>0 420086030</t>
  </si>
  <si>
    <t>Профилактика негативных проявлений в молодежной среде</t>
  </si>
  <si>
    <t>0 420086050</t>
  </si>
  <si>
    <t>0 420086060</t>
  </si>
  <si>
    <t>0 420087010</t>
  </si>
  <si>
    <t xml:space="preserve">Муниципальная программа Мотыгинского района "Развитие культуры и туризма" </t>
  </si>
  <si>
    <t>0 250000000</t>
  </si>
  <si>
    <t>0 730085200</t>
  </si>
  <si>
    <t>Мероприятие содействующее развитию социального туризма и туристической инфраструктуры Мотыгинского района</t>
  </si>
  <si>
    <t>0 250094800</t>
  </si>
  <si>
    <t>Межбюджетные трансферты для реализации проектов по благоустройству территорий поселений</t>
  </si>
  <si>
    <t>0 640000000</t>
  </si>
  <si>
    <t>0 640095810</t>
  </si>
  <si>
    <t>0 640095820</t>
  </si>
  <si>
    <t>0 640095830</t>
  </si>
  <si>
    <t>Подготовка дошкольных учреждений к новому учебному году</t>
  </si>
  <si>
    <t>Подготовка общеобразовательных учреждений к новому учебному году</t>
  </si>
  <si>
    <t>0 320080210</t>
  </si>
  <si>
    <t>Подготовка учреждений дополнительного образования детей к новому учебному году</t>
  </si>
  <si>
    <t>0 330080210</t>
  </si>
  <si>
    <t>Организация деятельности лагерей с дневным пребыванием детей</t>
  </si>
  <si>
    <t>0 320088270</t>
  </si>
  <si>
    <t>Проведение мероприятий с педагогами, учащимися, воспитанниками</t>
  </si>
  <si>
    <t>0 340088240</t>
  </si>
  <si>
    <t>Приведение муниципальных дошкольных учреждений в соответствие с требованиями санитарных норм и правил</t>
  </si>
  <si>
    <t>ФИЗИЧЕСКАЯ КУЛЬТУРА И СПОРТ</t>
  </si>
  <si>
    <t>Условно утвержденный расходы</t>
  </si>
  <si>
    <t>Итого</t>
  </si>
  <si>
    <t>Обслуживание государственного и муниципального долга</t>
  </si>
  <si>
    <t>13 00</t>
  </si>
  <si>
    <t>Обслуживание государственного внутреннего и муниципального долга</t>
  </si>
  <si>
    <t>Расходы на обслуживание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</si>
  <si>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</si>
  <si>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</si>
  <si>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ОБСЛУЖИВАНИЕ ГОСУДАРСТВЕННОГО И МУНИЦИПАЛЬНОГО ДОЛГА</t>
  </si>
  <si>
    <t>Приложение № 5</t>
  </si>
  <si>
    <t>Совета депутатов "О бюджете района</t>
  </si>
  <si>
    <t>07 02</t>
  </si>
  <si>
    <t>Приложение № 6</t>
  </si>
  <si>
    <t>01 04</t>
  </si>
  <si>
    <t>02 00</t>
  </si>
  <si>
    <t>02 03</t>
  </si>
  <si>
    <t>04 00</t>
  </si>
  <si>
    <t>04 01</t>
  </si>
  <si>
    <t>05 00</t>
  </si>
  <si>
    <t>05 02</t>
  </si>
  <si>
    <t>05 03</t>
  </si>
  <si>
    <t>13 01</t>
  </si>
  <si>
    <t>14 00</t>
  </si>
  <si>
    <t>14 01</t>
  </si>
  <si>
    <t>14 03</t>
  </si>
  <si>
    <t>01 02</t>
  </si>
  <si>
    <t>01 11</t>
  </si>
  <si>
    <t>04 05</t>
  </si>
  <si>
    <t>04 09</t>
  </si>
  <si>
    <t>04 12</t>
  </si>
  <si>
    <t>07 00</t>
  </si>
  <si>
    <t>07 09</t>
  </si>
  <si>
    <t>07 01</t>
  </si>
  <si>
    <t>08 00</t>
  </si>
  <si>
    <t>08 01</t>
  </si>
  <si>
    <t>08 04</t>
  </si>
  <si>
    <t>10 06</t>
  </si>
  <si>
    <t>03 00</t>
  </si>
  <si>
    <t>03 09</t>
  </si>
  <si>
    <t>01 03</t>
  </si>
  <si>
    <t>Приложение № 7</t>
  </si>
  <si>
    <t>Благоустройство территории и создание зоны отдыха</t>
  </si>
  <si>
    <t>0 502</t>
  </si>
  <si>
    <t>Подпрограмма "Создание условий для устойчивого социально-экономического развития муниципальных образований (сельских поселений) Мотыгинского района и эффективной реализации ими закрепленных полномочий"</t>
  </si>
  <si>
    <t>0 3200S5620</t>
  </si>
  <si>
    <t>0 702</t>
  </si>
  <si>
    <t>Проведение конкурсов, фестивалей, конференций, форумов одаренных детей.</t>
  </si>
  <si>
    <t>0 330088190</t>
  </si>
  <si>
    <t>Участие в спортивных соревнованиях</t>
  </si>
  <si>
    <t>0 330088200</t>
  </si>
  <si>
    <t>Организация утилизации и переработки бытовых промышленных отходов</t>
  </si>
  <si>
    <t>Инвентаризация и паспортизация объектов дорожного хозяйства, оформление права муниципальной собственности на объекты дорожного хозяйства и земельные участки, на которых они расположены</t>
  </si>
  <si>
    <t>Социальные выплаты гражданам, кроме публичных нормативных социальных выплат (наборы для новорожденных)</t>
  </si>
  <si>
    <t>Межбюджетные трансферты сельским поселениям на осуществление расходов, связанных с соблюдением требований действующего законодательства в области пожарной безопасности и безопасности дорожного движения при перевозке учащихся</t>
  </si>
  <si>
    <t>Межбюджетные трансферты сельским поселениям на осуществление расходов по проведению работ по технической инвентаризации объектов капитального строительства, находящихся в муниципальной собственности поселений и проведению кадастровых работ по определению местоположения земельных участков под данными объектами</t>
  </si>
  <si>
    <t>Софинансирование к субсидии бюджетам муниципальных образований на 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</t>
  </si>
  <si>
    <t>Развитие физической культуры и спорта в молодежной среде</t>
  </si>
  <si>
    <t>Поддержка молодежных инициатив, одаренной и талантливой молодежи</t>
  </si>
  <si>
    <t>099</t>
  </si>
  <si>
    <t>0 104</t>
  </si>
  <si>
    <t>0 113</t>
  </si>
  <si>
    <t>0 709</t>
  </si>
  <si>
    <t>на 2017 год и плановый период</t>
  </si>
  <si>
    <t>2018-2019 годов"</t>
  </si>
  <si>
    <t>на 2017 год и плановый период 2018-2019 гг.</t>
  </si>
  <si>
    <t>Сумма на          2019 год</t>
  </si>
  <si>
    <t>Субвенция бюджету муниципального образования Мотыгинский район на компенсацию расходов по проезду к новому месту жительства и провозу багажа отдельным категориям граждан и членам их семей, выезжающих из поселка Партизанск Мотыгинского района, в рамках подпрограммы «Улучшение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</si>
  <si>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Иные выплаты населению</t>
  </si>
  <si>
    <t>Субвенция бюджету муниципального образования Мотыгинский район на обеспечение деятельности специалистов, осуществляющих переданные государственные полномочия по переселению граждан из поселка Партизанск Мотыгинского района, в рамках подпрограммы «Улучшение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</si>
  <si>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Корректировка правил землепользования и застройки</t>
  </si>
  <si>
    <t>Софинансирование к субсидии бюджетам муниципальных образований на содержание автомобильных дорог общего пользования местного значения муниципальных районов, городских округов, городских и сельских поселений</t>
  </si>
  <si>
    <t>Муниципальное казенное учреждение "Централизованная бухгалтерия учреждений культуры"</t>
  </si>
  <si>
    <t>0 240000620</t>
  </si>
  <si>
    <t>Капитальный ремонт и реконструкция зданий и помещений муниципальных учреждений культуры и образовательных учреждений в области культуры</t>
  </si>
  <si>
    <t>0 240080040</t>
  </si>
  <si>
    <t>0 120006400</t>
  </si>
  <si>
    <t>Единовременная выплата высококвалифицированным специалистам, заключившим срочные трудовые договора ("эффективные контракты") с учреждениями социальной сферы Мотыгинского района</t>
  </si>
  <si>
    <t>0 150080080</t>
  </si>
  <si>
    <t>Ежемесячная денежная компенсация расходов за аренду (найм) жилого помещения специалистам учреждений социальной сферы Мотыгинского района</t>
  </si>
  <si>
    <t>0 150080090</t>
  </si>
  <si>
    <t>Финансирование  строительства основных конструкций, коммуникаций и оборудование муниципальной бани, разработка ПСД в п. Мотыгино</t>
  </si>
  <si>
    <t>0 1 13</t>
  </si>
  <si>
    <t>0 804</t>
  </si>
  <si>
    <t>Руководство и управление в сфере установленных функций органов местного самоуправления (ЦБ)</t>
  </si>
  <si>
    <t>0 409</t>
  </si>
  <si>
    <t>0 412</t>
  </si>
  <si>
    <t>Оплата стоимости набора продуктов питания или готовых блюд и их транспортировки в лагеря с дневным пребыванием детей</t>
  </si>
  <si>
    <t>0 32007397Г</t>
  </si>
  <si>
    <t>Оплата стоимости путевок для детей в возрасте от 7 лет до 18 лет в краевые государственные и негосударственные организации отдыха детей и их оздоровления, расположенные на территории края, муниципальные загородные оздоровительные лагеря</t>
  </si>
  <si>
    <t>0 34007397Д</t>
  </si>
  <si>
    <t>Проведение мероприятий по подготовке жилых помещений детям сиротам и детям, оставшимся без попечения родителей, лицам из их числа  к заселению</t>
  </si>
  <si>
    <t>Подпрограмма "Повышение эффективности деятельности органов местного самоуправления  Мотыгинского района""</t>
  </si>
  <si>
    <t>Подпрограмма "Оказание муниципальных услуг, выполнение работ и исполнение муниципальных функций по вопросам деятельности органов местного самоуправления Мотыгинского района"</t>
  </si>
  <si>
    <t>Подпрограмма "Создание условий для устойчивого социально-экономического развития муниципальных образований (поселений) Мотыгинского района и эффективной реализации ими закрепленных полномочий"</t>
  </si>
  <si>
    <t>Подпрограмма "Повышение эффективности деятельности органов местного самоуправления  Мотыгинского района"</t>
  </si>
  <si>
    <t>Подпрограмма "Создание условий для устойчивого социально-экономического развития муниципальных образований ( поселений) Мотыгинского района и эффективной реализации ими закрепленных полномочий"</t>
  </si>
  <si>
    <t>Обеспечение деятельности (оказание услуг) подведомственных учреждений (МБУ "ЦППМ и СП)</t>
  </si>
  <si>
    <t>0 340000620</t>
  </si>
  <si>
    <t>Обеспечение деятельности (оказание услуг) подведомственных учреждений (МБУ "ИМЦ)</t>
  </si>
  <si>
    <t>0 340000630</t>
  </si>
  <si>
    <t>0 990000000</t>
  </si>
  <si>
    <t>0 9900S6070</t>
  </si>
  <si>
    <t>Софинансирование к субсидии на реализацию социокультурного проекта</t>
  </si>
  <si>
    <t>0 2300S4810</t>
  </si>
  <si>
    <t>Физическая культура и спорт</t>
  </si>
  <si>
    <t>11 01</t>
  </si>
  <si>
    <t>11 00</t>
  </si>
  <si>
    <t>Физическая культура</t>
  </si>
  <si>
    <t>0 430000000</t>
  </si>
  <si>
    <t>0 430086070</t>
  </si>
  <si>
    <t>Подпрограмма "Развитие физической культуры и спорта в Мотыгинском районе"</t>
  </si>
  <si>
    <t>Проведение мероприятий в области физической культуры и спорта</t>
  </si>
  <si>
    <t>Сумма на  2017 год</t>
  </si>
  <si>
    <t>Сумма на 2019 год</t>
  </si>
  <si>
    <t>Распределение бюджетных ассигнований по разделам и 
подразделам бюджетной классификации расходов бюджетов Российской Федерации 
на 2017 год и плановый период 2018-2019 годов</t>
  </si>
  <si>
    <t>на 2017 год и плановый период 2018-2019 годов"</t>
  </si>
  <si>
    <t>Муниципальная программа "Развитие сельского хозяйства и регулирование рынков сельскохозяйственной продукции, сырья и продовольствия"</t>
  </si>
  <si>
    <t>Подпрограмма "Укрепление кадрового потенциала в области сельского хозяйства в Мотыгинском районе"</t>
  </si>
  <si>
    <t>0 810000000</t>
  </si>
  <si>
    <t>0 310080210</t>
  </si>
  <si>
    <t>0 310088150</t>
  </si>
  <si>
    <t>11300S5080</t>
  </si>
  <si>
    <t>05 01</t>
  </si>
  <si>
    <t>Субсидии бюджетам муниципальных образований на обеспчение мероприятий по переселению граждан из аварийного жилищного фонда за счет средств, поступающих от государственной корпорации ФСРЖКХ</t>
  </si>
  <si>
    <t>Субсидии</t>
  </si>
  <si>
    <t>0 501</t>
  </si>
  <si>
    <t>Распределение бюджетных ассигнований по целевым статьям (муниципальным программам Мотыгинского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на 2017 год и плановый период 2018-2019 гг.</t>
  </si>
  <si>
    <t>Подпрограмма "Развитие внутреннего и въездного туризма"</t>
  </si>
  <si>
    <t>Подпрограмма "Строительство объектов социальной сферы, жилого фонда и коммунальной инфраструктуры в Мотыгинском районе".</t>
  </si>
  <si>
    <t>Строительство физкультурно-оздоровительного комплекса в п. Мотыгино</t>
  </si>
  <si>
    <t>Разработка ПСД Первомайская СОШ</t>
  </si>
  <si>
    <t>Оплата технических условий под строительство новых объектов на территории поселка Мотыгино</t>
  </si>
  <si>
    <t>07300S5080</t>
  </si>
  <si>
    <t>0 7300S5080</t>
  </si>
  <si>
    <t>Приобретение маневренного жилого фонда</t>
  </si>
  <si>
    <t>05 05</t>
  </si>
  <si>
    <t xml:space="preserve">Совета депутатов </t>
  </si>
  <si>
    <r>
      <t xml:space="preserve">от </t>
    </r>
    <r>
      <rPr>
        <u val="single"/>
        <sz val="12"/>
        <rFont val="Times New Roman"/>
        <family val="1"/>
      </rPr>
      <t>20.12.2016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11-96</t>
    </r>
  </si>
  <si>
    <t>Приложение № 4</t>
  </si>
  <si>
    <r>
      <t xml:space="preserve">от </t>
    </r>
    <r>
      <rPr>
        <u val="single"/>
        <sz val="12"/>
        <color theme="1"/>
        <rFont val="Times New Roman"/>
        <family val="1"/>
      </rPr>
      <t>20.12.2016</t>
    </r>
    <r>
      <rPr>
        <sz val="12"/>
        <color theme="1"/>
        <rFont val="Times New Roman"/>
        <family val="1"/>
      </rPr>
      <t xml:space="preserve"> № </t>
    </r>
    <r>
      <rPr>
        <u val="single"/>
        <sz val="12"/>
        <color theme="1"/>
        <rFont val="Times New Roman"/>
        <family val="1"/>
      </rPr>
      <t>11-96</t>
    </r>
  </si>
  <si>
    <t>Совета депутатов</t>
  </si>
  <si>
    <t xml:space="preserve">Изыскательские работы и разработка ПСД на инженерные сети в п.Первомайск для нужд реконструируемого объекта Первомайская СОШ и жителей поселения </t>
  </si>
  <si>
    <t>Приобретение технологического оборудования для обеспечения функционирования систем теплоснабжения, электроснабжения, водоснабжения в рамках муниципальной программы Мотыгинского района "Реформирование и модернизация жилищно-коммунального хозяйства и повышения энергетической эффективности"</t>
  </si>
  <si>
    <t>Подпрограмма "Чистая вода в Мотыгинском районе"</t>
  </si>
  <si>
    <t>0 710085010</t>
  </si>
  <si>
    <t>Реализация мероприятий по капитальному ремонту, реконструкции, модернизации и строительству объектов водоснабжения коммунальной инфраструктуры</t>
  </si>
  <si>
    <t>Обеспечение пожарной безопасности</t>
  </si>
  <si>
    <t>03 10</t>
  </si>
  <si>
    <t>0800000000</t>
  </si>
  <si>
    <t>Подпрограмма "Обеспечение пожарной безопасности Мотыгинского района"</t>
  </si>
  <si>
    <t>0810000000</t>
  </si>
  <si>
    <t>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</si>
  <si>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0810074120</t>
  </si>
  <si>
    <t>094</t>
  </si>
  <si>
    <t>0409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</si>
  <si>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</t>
  </si>
  <si>
    <t>Субсидии бюджетам муниципальных образований на содержание автомобильных дорог общего пользования местного значения муниципальных районов, городских округов, городских и сельских поселений за счет средств дорожного фонда Красноярского края</t>
  </si>
  <si>
    <t>Субсидии бюджетам муниципальных образований на капитальный ремонт и ремонт автомобильных дорог общего пользования местного значения муниципальных районов, городских округов, городских и сельских пооселений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</si>
  <si>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 краевого бюджета</t>
  </si>
  <si>
    <t>Средства на повышение размеров оплаты труда основного персонала библиотек и музеев Красноярского края</t>
  </si>
  <si>
    <t>0 240010440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</si>
  <si>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</t>
  </si>
  <si>
    <t>0820074130</t>
  </si>
  <si>
    <t>Субсидии бюджетам муниципальных образований на развитие инфраструктуры общеобразовательных организаций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</si>
  <si>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0 320075630</t>
  </si>
  <si>
    <t>0 320073980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</si>
  <si>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"Повышение безопасности дорожного движения" государственной программы Красноярского края "Развитие транспортной системы",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</si>
  <si>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</si>
  <si>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0 410010430</t>
  </si>
  <si>
    <t>Поддержка отрасли культуры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</si>
  <si>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02400R5190</t>
  </si>
  <si>
    <t>Средства на повышение размеров оплаты труда основного персонала библиотек и музеев Красноярского края по министерству культуры Красноярского края в рамках непрограммных расходов отдельных органов исполнительной власти</t>
  </si>
  <si>
    <t>0 810074120</t>
  </si>
  <si>
    <t>0 820074130</t>
  </si>
  <si>
    <t>0 2300R5580</t>
  </si>
  <si>
    <t>Средства на 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численностью населения до 300 тысяч человек</t>
  </si>
  <si>
    <t>Другие вопросы в области физической культуры и спорта</t>
  </si>
  <si>
    <t>11 05</t>
  </si>
  <si>
    <t>Разработка ПСД физкультурно-оздоровительных комплексов</t>
  </si>
  <si>
    <t>Другие вопросы в областифизической культуры и спорта</t>
  </si>
  <si>
    <t>Развитие объектов капитального строительства в сфере образования</t>
  </si>
  <si>
    <t>Мероприятие 1 -Субсидирование части затрат, понесенных сельхозпроизводителем в результате предпринимательской деятельности в области сельского хозяйства</t>
  </si>
  <si>
    <t>Связь и информатика</t>
  </si>
  <si>
    <t>04 10</t>
  </si>
  <si>
    <t>Развитие услуг связи и сети Интернет на территории Мотыгинского района</t>
  </si>
  <si>
    <t>08200S4130</t>
  </si>
  <si>
    <t>Частичное финансирование расходов на содержание единой дежурно-диспетчерской службы</t>
  </si>
  <si>
    <t>Иной межбюджетный трансферт  бюджетам муниципальных образований Мотыгинского района на ремонт коммунальной инфраструктуры</t>
  </si>
  <si>
    <t>Иной межбюджетный трансферт бюджетам муниципальных образований Мотыгинского района на ремонт коммунальной инфраструктуры</t>
  </si>
  <si>
    <t>Субсидии юридическим лицам (за исключением государственных и муниципальных учреждений) и индивидуальным предпринимателям в целях возмещения недополученных доходов и (или) финансового обеспечения (возмещения) затрат, возникающих в связи с регулированием тарифов на перевозки пассажиров внутренним водным транспортом в местном сообщении</t>
  </si>
  <si>
    <t>Содержание полигона ТБО</t>
  </si>
  <si>
    <t>Подпрограмма "Развитие транспортной системы в Мотыгинском районе"</t>
  </si>
  <si>
    <t>Обновление автопарка автотранспортных предприятий</t>
  </si>
  <si>
    <t>Актуализация документов территориального планирования и градостроительного зонирования муниципальных образований Мотыгинского района</t>
  </si>
  <si>
    <t>12300S5910</t>
  </si>
  <si>
    <t>Приобретение технологического оборудования для котельных и тепловых сетей, капитальный ремонт зданий котельных и тепловых сетей в п. Мотыгино</t>
  </si>
  <si>
    <t>0 730085220</t>
  </si>
  <si>
    <t>Субсидии бюджетам муниципальных образований на осуществление дорожной деятельности с привлечением внебюджетных источников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</si>
  <si>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Средства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культуры, по министерству культуры Красноярского края в рамках непрограммных расходов отдельных органов исполнительной власти</t>
  </si>
  <si>
    <t>0 210010460</t>
  </si>
  <si>
    <t>0 2400R5190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</si>
  <si>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</si>
  <si>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на создание условий для развития услуг связи в малочисленных и труднодоступных населенных пунктах Красноярского края в рамках подпрограммы «Инфраструктура информационного общества и электронного правительства» государственной программы Красноярского края «Развитие информационного общества»</t>
  </si>
  <si>
    <t>Средства на повышение размеров оплаты труда отдельным категориям работников бюджетной сферы края, в том числе для которых указами Президента Российской Федерации предусмотрено повышение оплаты труда, по министерству финансов Красноярского края в рамках непрограммных расходов отдельных органов исполнительной власти</t>
  </si>
  <si>
    <t>0 330010420</t>
  </si>
  <si>
    <t>0 240010420</t>
  </si>
  <si>
    <t>0 230010460</t>
  </si>
  <si>
    <t>0 230074810</t>
  </si>
  <si>
    <t>Субсидии бюджетам муниципальных образований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«Поддержка искусства и народного творчества» государственной программы Красноярского края «Развитие культуры и туризма»</t>
  </si>
  <si>
    <t>Обеспечение жилыми помещениями детей-сирот и детей,оставшихся без попечения родителей, лиц из числа детей-сирот, оставшихся без попечения родителей, за счет средств местного бюджета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</si>
  <si>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отдельных органов исполнительной власти</t>
  </si>
  <si>
    <t>0 620000620</t>
  </si>
  <si>
    <t>Обеспечение деятельности подведомственных учреждений в рамках подпрограммы "Оказание муниципальных услуг, выполнение работ и исполнение муниципальных функций по вопросам деятельности органов местного самоуправления" (СКЦ)</t>
  </si>
  <si>
    <t>0 620000630</t>
  </si>
  <si>
    <t>Обеспечение деятельности подведомственных учреждений в рамках подпрограммы "Оказание муниципальных услуг, выполнение работ и исполнение муниципальных функций по вопросам деятельности органов местного самоуправления" (МБС)</t>
  </si>
  <si>
    <t>0 2300L5190</t>
  </si>
  <si>
    <t>Софинансирование к субсидии на укрепление материально-технической базы и оснащение оборудованием детских школ искусств в 2017 году</t>
  </si>
  <si>
    <t>Закупка товаров, работ и услуг для государственных (муниципальных) нужд</t>
  </si>
  <si>
    <t>Приобретение жилых помещений для участников подпрограммы</t>
  </si>
  <si>
    <t>11900S6450</t>
  </si>
  <si>
    <t>Приложение № 3</t>
  </si>
  <si>
    <t>0 150080030</t>
  </si>
  <si>
    <t>0 230000660</t>
  </si>
  <si>
    <t>Обеспечение деятельности (оказание услуг) подведомственных учреждений (СДК) в рамках подпрограммы "Искусство и народное творчество"</t>
  </si>
  <si>
    <t>0230000660</t>
  </si>
  <si>
    <t>Подпрограмма "Поддержка малых форм хозяйствования и повышение доходов сельского населения"</t>
  </si>
  <si>
    <t>0 920000000</t>
  </si>
  <si>
    <t>0 920075170</t>
  </si>
  <si>
    <t xml:space="preserve">04 05 </t>
  </si>
  <si>
    <t>02300R5190</t>
  </si>
  <si>
    <t>Субвенции бюджетам муниципальных образований на обеспечение жилыми помещениями детей-сирот и детей, оставшихся без попечения
родителей, лиц из числа детей-сирот и детей, оставшихся без попечения родителей</t>
  </si>
  <si>
    <t>к Решению Мотыгинского районного</t>
  </si>
  <si>
    <t>от 20.12.2017 №19-173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</si>
</sst>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"/>
    <numFmt numFmtId="166" formatCode="0.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name val="Arial Cyr"/>
      <family val="2"/>
    </font>
    <font>
      <b/>
      <sz val="11"/>
      <name val="Times New Roman"/>
      <family val="1"/>
    </font>
    <font>
      <sz val="8"/>
      <color indexed="8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u val="single"/>
      <sz val="12"/>
      <name val="Times New Roman"/>
      <family val="1"/>
    </font>
    <font>
      <u val="single"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/>
      <bottom style="thin">
        <color rgb="FF000000"/>
      </bottom>
    </border>
    <border>
      <left/>
      <right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164" fontId="0" fillId="0" borderId="0" applyFont="0" applyFill="0" applyBorder="0" applyAlignment="0" applyProtection="0"/>
  </cellStyleXfs>
  <cellXfs count="366">
    <xf numFmtId="0" fontId="0" fillId="0" borderId="0" xfId="0"/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0" xfId="0" applyFont="1"/>
    <xf numFmtId="49" fontId="3" fillId="0" borderId="0" xfId="0" applyNumberFormat="1" applyFont="1" applyFill="1" applyAlignment="1">
      <alignment horizontal="center" vertical="top"/>
    </xf>
    <xf numFmtId="165" fontId="3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9" fillId="0" borderId="0" xfId="21" applyFont="1" applyFill="1" applyAlignment="1">
      <alignment horizontal="right"/>
      <protection/>
    </xf>
    <xf numFmtId="0" fontId="9" fillId="0" borderId="0" xfId="22" applyFont="1" applyFill="1" applyAlignment="1">
      <alignment horizontal="right"/>
      <protection/>
    </xf>
    <xf numFmtId="0" fontId="3" fillId="0" borderId="0" xfId="0" applyFont="1" applyFill="1" applyAlignment="1">
      <alignment/>
    </xf>
    <xf numFmtId="0" fontId="3" fillId="0" borderId="0" xfId="20" applyFont="1" applyFill="1" applyAlignment="1">
      <alignment horizontal="right"/>
      <protection/>
    </xf>
    <xf numFmtId="0" fontId="3" fillId="0" borderId="0" xfId="0" applyFont="1" applyFill="1" applyAlignment="1">
      <alignment vertical="top"/>
    </xf>
    <xf numFmtId="0" fontId="3" fillId="0" borderId="0" xfId="0" applyFont="1" applyFill="1"/>
    <xf numFmtId="0" fontId="7" fillId="0" borderId="0" xfId="0" applyFont="1" applyFill="1" applyAlignment="1">
      <alignment horizontal="right"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center"/>
    </xf>
    <xf numFmtId="0" fontId="11" fillId="0" borderId="3" xfId="0" applyNumberFormat="1" applyFont="1" applyBorder="1" applyAlignment="1">
      <alignment horizontal="center" vertical="top"/>
    </xf>
    <xf numFmtId="0" fontId="11" fillId="0" borderId="3" xfId="0" applyNumberFormat="1" applyFont="1" applyBorder="1" applyAlignment="1" quotePrefix="1">
      <alignment horizontal="center" wrapText="1"/>
    </xf>
    <xf numFmtId="0" fontId="8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11" fillId="0" borderId="0" xfId="0" applyNumberFormat="1" applyFont="1" applyFill="1" applyBorder="1" applyAlignment="1">
      <alignment horizontal="justify" vertical="center" wrapText="1"/>
    </xf>
    <xf numFmtId="0" fontId="7" fillId="0" borderId="1" xfId="0" applyNumberFormat="1" applyFont="1" applyFill="1" applyBorder="1" applyAlignment="1">
      <alignment horizontal="justify" vertical="center" wrapText="1"/>
    </xf>
    <xf numFmtId="4" fontId="11" fillId="0" borderId="3" xfId="0" applyNumberFormat="1" applyFont="1" applyBorder="1" applyAlignment="1">
      <alignment horizontal="right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/>
    </xf>
    <xf numFmtId="2" fontId="12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/>
    </xf>
    <xf numFmtId="0" fontId="12" fillId="0" borderId="1" xfId="0" applyFont="1" applyBorder="1" applyAlignment="1">
      <alignment horizontal="justify" vertical="center" wrapText="1"/>
    </xf>
    <xf numFmtId="0" fontId="12" fillId="2" borderId="1" xfId="0" applyFont="1" applyFill="1" applyBorder="1" applyAlignment="1">
      <alignment horizontal="justify" vertical="center" wrapText="1"/>
    </xf>
    <xf numFmtId="0" fontId="12" fillId="2" borderId="1" xfId="0" applyNumberFormat="1" applyFont="1" applyFill="1" applyBorder="1" applyAlignment="1">
      <alignment horizontal="justify" vertical="center" wrapText="1"/>
    </xf>
    <xf numFmtId="0" fontId="12" fillId="0" borderId="0" xfId="0" applyFont="1" applyAlignment="1">
      <alignment horizontal="justify"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justify" vertical="center"/>
    </xf>
    <xf numFmtId="0" fontId="12" fillId="0" borderId="0" xfId="0" applyFont="1" applyBorder="1" applyAlignment="1">
      <alignment horizontal="justify" vertical="center"/>
    </xf>
    <xf numFmtId="0" fontId="3" fillId="0" borderId="0" xfId="0" applyNumberFormat="1" applyFont="1" applyAlignment="1">
      <alignment horizontal="justify" vertical="center" wrapText="1"/>
    </xf>
    <xf numFmtId="0" fontId="2" fillId="0" borderId="0" xfId="0" applyNumberFormat="1" applyFont="1" applyFill="1" applyAlignment="1">
      <alignment horizontal="justify" vertical="center" wrapText="1"/>
    </xf>
    <xf numFmtId="0" fontId="3" fillId="0" borderId="0" xfId="0" applyNumberFormat="1" applyFont="1" applyFill="1" applyAlignment="1">
      <alignment horizontal="justify" vertical="center" wrapText="1"/>
    </xf>
    <xf numFmtId="0" fontId="3" fillId="0" borderId="1" xfId="0" applyNumberFormat="1" applyFont="1" applyBorder="1" applyAlignment="1">
      <alignment horizontal="justify" vertical="center" wrapText="1"/>
    </xf>
    <xf numFmtId="0" fontId="3" fillId="0" borderId="2" xfId="0" applyNumberFormat="1" applyFont="1" applyBorder="1" applyAlignment="1">
      <alignment horizontal="justify" vertical="center" wrapText="1"/>
    </xf>
    <xf numFmtId="0" fontId="11" fillId="0" borderId="3" xfId="0" applyNumberFormat="1" applyFont="1" applyBorder="1" applyAlignment="1" quotePrefix="1">
      <alignment horizontal="justify" vertical="center" wrapText="1"/>
    </xf>
    <xf numFmtId="0" fontId="16" fillId="0" borderId="1" xfId="0" applyFont="1" applyBorder="1" applyAlignment="1">
      <alignment horizontal="justify" vertical="center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/>
    </xf>
    <xf numFmtId="4" fontId="4" fillId="0" borderId="0" xfId="0" applyNumberFormat="1" applyFont="1"/>
    <xf numFmtId="0" fontId="7" fillId="0" borderId="1" xfId="0" applyFont="1" applyFill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justify" vertical="center" wrapText="1"/>
    </xf>
    <xf numFmtId="0" fontId="3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1" xfId="0" applyNumberFormat="1" applyFont="1" applyFill="1" applyBorder="1" applyAlignment="1">
      <alignment horizontal="justify" vertical="center" wrapText="1"/>
    </xf>
    <xf numFmtId="49" fontId="10" fillId="0" borderId="1" xfId="0" applyNumberFormat="1" applyFont="1" applyFill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3" xfId="0" applyNumberFormat="1" applyFont="1" applyBorder="1" applyAlignment="1" quotePrefix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justify" vertical="center" wrapText="1"/>
    </xf>
    <xf numFmtId="0" fontId="19" fillId="0" borderId="0" xfId="0" applyFont="1"/>
    <xf numFmtId="0" fontId="20" fillId="0" borderId="3" xfId="0" applyNumberFormat="1" applyFont="1" applyBorder="1" applyAlignment="1" quotePrefix="1">
      <alignment horizontal="center" wrapText="1"/>
    </xf>
    <xf numFmtId="4" fontId="20" fillId="0" borderId="3" xfId="0" applyNumberFormat="1" applyFont="1" applyBorder="1" applyAlignment="1">
      <alignment horizontal="right" wrapText="1"/>
    </xf>
    <xf numFmtId="0" fontId="20" fillId="0" borderId="3" xfId="0" applyNumberFormat="1" applyFont="1" applyBorder="1" applyAlignment="1">
      <alignment horizontal="center" vertical="top"/>
    </xf>
    <xf numFmtId="0" fontId="20" fillId="0" borderId="3" xfId="0" applyNumberFormat="1" applyFont="1" applyBorder="1" applyAlignment="1" quotePrefix="1">
      <alignment horizontal="justify" vertical="center" wrapText="1"/>
    </xf>
    <xf numFmtId="165" fontId="20" fillId="0" borderId="3" xfId="0" applyNumberFormat="1" applyFont="1" applyBorder="1" applyAlignment="1">
      <alignment horizontal="right" wrapText="1"/>
    </xf>
    <xf numFmtId="0" fontId="20" fillId="0" borderId="3" xfId="0" applyNumberFormat="1" applyFont="1" applyBorder="1" applyAlignment="1" quotePrefix="1">
      <alignment horizontal="left" vertical="top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12" fillId="0" borderId="1" xfId="0" applyFont="1" applyBorder="1" applyAlignment="1">
      <alignment horizontal="center"/>
    </xf>
    <xf numFmtId="0" fontId="5" fillId="0" borderId="1" xfId="0" applyNumberFormat="1" applyFont="1" applyFill="1" applyBorder="1" applyAlignment="1" quotePrefix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20" applyNumberFormat="1" applyFont="1" applyFill="1" applyBorder="1" applyAlignment="1">
      <alignment horizontal="justify" vertical="center" wrapText="1"/>
      <protection/>
    </xf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justify" vertical="center" wrapText="1"/>
    </xf>
    <xf numFmtId="0" fontId="16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11" fillId="0" borderId="1" xfId="0" applyNumberFormat="1" applyFont="1" applyFill="1" applyBorder="1" applyAlignment="1" quotePrefix="1">
      <alignment horizontal="justify" vertical="center" wrapText="1"/>
    </xf>
    <xf numFmtId="0" fontId="12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justify" vertical="center" wrapText="1"/>
    </xf>
    <xf numFmtId="0" fontId="12" fillId="2" borderId="1" xfId="0" applyFont="1" applyFill="1" applyBorder="1" applyAlignment="1">
      <alignment horizontal="justify" vertical="center" wrapText="1"/>
    </xf>
    <xf numFmtId="0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NumberFormat="1" applyFont="1" applyFill="1" applyBorder="1" applyAlignment="1" quotePrefix="1">
      <alignment horizontal="justify" vertical="center" wrapText="1"/>
    </xf>
    <xf numFmtId="0" fontId="12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3" xfId="0" applyNumberFormat="1" applyFont="1" applyFill="1" applyBorder="1" applyAlignment="1" quotePrefix="1">
      <alignment horizontal="left" vertical="top" wrapText="1"/>
    </xf>
    <xf numFmtId="0" fontId="11" fillId="0" borderId="3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/>
    </xf>
    <xf numFmtId="0" fontId="10" fillId="0" borderId="1" xfId="0" applyFont="1" applyFill="1" applyBorder="1" applyAlignment="1">
      <alignment horizontal="justify" vertical="center"/>
    </xf>
    <xf numFmtId="0" fontId="1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NumberFormat="1" applyFont="1" applyFill="1" applyBorder="1" applyAlignment="1" quotePrefix="1">
      <alignment horizontal="justify" vertical="center" wrapText="1"/>
    </xf>
    <xf numFmtId="2" fontId="12" fillId="0" borderId="1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 quotePrefix="1">
      <alignment horizontal="left" vertical="center" wrapText="1"/>
    </xf>
    <xf numFmtId="0" fontId="11" fillId="0" borderId="3" xfId="0" applyNumberFormat="1" applyFont="1" applyFill="1" applyBorder="1" applyAlignment="1">
      <alignment horizontal="left" vertical="top" wrapText="1"/>
    </xf>
    <xf numFmtId="0" fontId="20" fillId="0" borderId="1" xfId="0" applyNumberFormat="1" applyFont="1" applyFill="1" applyBorder="1" applyAlignment="1" quotePrefix="1">
      <alignment horizontal="justify" vertical="center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6" fillId="0" borderId="1" xfId="23" applyFont="1" applyBorder="1" applyAlignment="1">
      <alignment horizontal="center" vertical="center"/>
    </xf>
    <xf numFmtId="164" fontId="18" fillId="0" borderId="1" xfId="23" applyFont="1" applyBorder="1" applyAlignment="1">
      <alignment horizontal="center" vertical="center"/>
    </xf>
    <xf numFmtId="164" fontId="16" fillId="3" borderId="1" xfId="23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2" fillId="0" borderId="0" xfId="0" applyFont="1" applyFill="1"/>
    <xf numFmtId="0" fontId="12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164" fontId="12" fillId="0" borderId="1" xfId="23" applyFont="1" applyBorder="1" applyAlignment="1">
      <alignment horizontal="center" vertical="center"/>
    </xf>
    <xf numFmtId="164" fontId="12" fillId="0" borderId="1" xfId="23" applyFont="1" applyFill="1" applyBorder="1" applyAlignment="1">
      <alignment horizontal="center" vertical="center"/>
    </xf>
    <xf numFmtId="164" fontId="17" fillId="0" borderId="1" xfId="23" applyFont="1" applyBorder="1" applyAlignment="1">
      <alignment horizontal="center" vertical="center"/>
    </xf>
    <xf numFmtId="164" fontId="12" fillId="0" borderId="1" xfId="23" applyFont="1" applyBorder="1" applyAlignment="1">
      <alignment horizontal="center"/>
    </xf>
    <xf numFmtId="164" fontId="17" fillId="0" borderId="1" xfId="23" applyFont="1" applyFill="1" applyBorder="1" applyAlignment="1">
      <alignment horizontal="center" vertical="center"/>
    </xf>
    <xf numFmtId="0" fontId="20" fillId="0" borderId="3" xfId="0" applyNumberFormat="1" applyFont="1" applyBorder="1" applyAlignment="1">
      <alignment horizontal="center" wrapText="1"/>
    </xf>
    <xf numFmtId="0" fontId="11" fillId="0" borderId="3" xfId="0" applyNumberFormat="1" applyFont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vertical="center"/>
    </xf>
    <xf numFmtId="164" fontId="3" fillId="0" borderId="1" xfId="23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0" fontId="11" fillId="0" borderId="1" xfId="0" applyNumberFormat="1" applyFont="1" applyFill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justify" vertical="center" wrapText="1"/>
    </xf>
    <xf numFmtId="0" fontId="11" fillId="0" borderId="1" xfId="0" applyNumberFormat="1" applyFont="1" applyFill="1" applyBorder="1" applyAlignment="1" quotePrefix="1">
      <alignment horizontal="justify" vertical="center" wrapText="1"/>
    </xf>
    <xf numFmtId="164" fontId="12" fillId="0" borderId="1" xfId="23" applyFont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/>
    </xf>
    <xf numFmtId="164" fontId="12" fillId="0" borderId="1" xfId="23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justify" vertical="center" wrapText="1"/>
      <protection locked="0"/>
    </xf>
    <xf numFmtId="0" fontId="7" fillId="0" borderId="1" xfId="0" applyFont="1" applyFill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/>
    </xf>
    <xf numFmtId="164" fontId="12" fillId="0" borderId="1" xfId="23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2" fillId="0" borderId="1" xfId="23" applyFont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17" fillId="0" borderId="0" xfId="0" applyFont="1" applyFill="1" applyAlignment="1">
      <alignment wrapText="1"/>
    </xf>
    <xf numFmtId="0" fontId="12" fillId="0" borderId="1" xfId="0" applyFont="1" applyBorder="1" applyAlignment="1">
      <alignment horizontal="center" vertical="center"/>
    </xf>
    <xf numFmtId="164" fontId="12" fillId="0" borderId="1" xfId="23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/>
    </xf>
    <xf numFmtId="164" fontId="12" fillId="0" borderId="1" xfId="23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justify" vertical="center" wrapText="1"/>
    </xf>
    <xf numFmtId="164" fontId="12" fillId="0" borderId="1" xfId="23" applyFont="1" applyBorder="1" applyAlignment="1">
      <alignment horizontal="center" vertical="center"/>
    </xf>
    <xf numFmtId="0" fontId="11" fillId="0" borderId="3" xfId="0" applyNumberFormat="1" applyFont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/>
    </xf>
    <xf numFmtId="164" fontId="12" fillId="0" borderId="1" xfId="23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0" fontId="11" fillId="0" borderId="1" xfId="0" applyNumberFormat="1" applyFont="1" applyFill="1" applyBorder="1" applyAlignment="1" quotePrefix="1">
      <alignment horizontal="left" vertical="top" wrapText="1"/>
    </xf>
    <xf numFmtId="0" fontId="11" fillId="0" borderId="1" xfId="0" applyNumberFormat="1" applyFont="1" applyFill="1" applyBorder="1" applyAlignment="1">
      <alignment horizontal="left" vertical="top" wrapText="1"/>
    </xf>
    <xf numFmtId="4" fontId="11" fillId="0" borderId="3" xfId="0" applyNumberFormat="1" applyFont="1" applyFill="1" applyBorder="1" applyAlignment="1">
      <alignment horizontal="right" wrapText="1"/>
    </xf>
    <xf numFmtId="0" fontId="12" fillId="0" borderId="1" xfId="0" applyFont="1" applyBorder="1" applyAlignment="1">
      <alignment horizontal="center" vertical="center"/>
    </xf>
    <xf numFmtId="164" fontId="12" fillId="0" borderId="1" xfId="23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2" fillId="0" borderId="1" xfId="23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2" fillId="0" borderId="1" xfId="23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NumberFormat="1" applyFont="1" applyFill="1" applyBorder="1" applyAlignment="1" quotePrefix="1">
      <alignment horizontal="justify" vertical="center" wrapText="1"/>
    </xf>
    <xf numFmtId="164" fontId="12" fillId="0" borderId="1" xfId="23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2" fillId="0" borderId="1" xfId="23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justify" vertical="center" wrapText="1"/>
    </xf>
    <xf numFmtId="0" fontId="23" fillId="0" borderId="0" xfId="0" applyFont="1" applyFill="1"/>
    <xf numFmtId="164" fontId="12" fillId="0" borderId="0" xfId="23" applyFont="1" applyFill="1"/>
    <xf numFmtId="166" fontId="12" fillId="0" borderId="0" xfId="0" applyNumberFormat="1" applyFont="1" applyFill="1"/>
    <xf numFmtId="0" fontId="12" fillId="4" borderId="0" xfId="0" applyFont="1" applyFill="1"/>
    <xf numFmtId="2" fontId="12" fillId="0" borderId="0" xfId="0" applyNumberFormat="1" applyFont="1" applyFill="1"/>
    <xf numFmtId="0" fontId="7" fillId="0" borderId="1" xfId="0" applyFont="1" applyFill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/>
    </xf>
    <xf numFmtId="164" fontId="12" fillId="0" borderId="1" xfId="23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2" fillId="0" borderId="1" xfId="23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164" fontId="12" fillId="0" borderId="1" xfId="23" applyFont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1" fillId="0" borderId="1" xfId="0" applyNumberFormat="1" applyFont="1" applyFill="1" applyBorder="1" applyAlignment="1">
      <alignment horizontal="justify" vertical="center" wrapText="1"/>
    </xf>
    <xf numFmtId="0" fontId="11" fillId="0" borderId="1" xfId="0" applyNumberFormat="1" applyFont="1" applyFill="1" applyBorder="1" applyAlignment="1" quotePrefix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11" fillId="0" borderId="1" xfId="0" applyNumberFormat="1" applyFont="1" applyFill="1" applyBorder="1" applyAlignment="1" quotePrefix="1">
      <alignment horizontal="justify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64" fontId="16" fillId="0" borderId="1" xfId="23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justify" vertical="center"/>
    </xf>
    <xf numFmtId="0" fontId="11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49" fontId="3" fillId="0" borderId="6" xfId="0" applyNumberFormat="1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horizontal="justify" vertical="center" wrapText="1"/>
    </xf>
    <xf numFmtId="0" fontId="11" fillId="0" borderId="1" xfId="0" applyNumberFormat="1" applyFont="1" applyFill="1" applyBorder="1" applyAlignment="1">
      <alignment horizontal="justify" vertical="center" wrapText="1"/>
    </xf>
    <xf numFmtId="0" fontId="11" fillId="0" borderId="1" xfId="0" applyNumberFormat="1" applyFont="1" applyFill="1" applyBorder="1" applyAlignment="1" quotePrefix="1">
      <alignment horizontal="justify" vertical="center" wrapText="1"/>
    </xf>
    <xf numFmtId="0" fontId="12" fillId="5" borderId="0" xfId="0" applyFont="1" applyFill="1"/>
    <xf numFmtId="0" fontId="3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1" fillId="0" borderId="1" xfId="0" applyNumberFormat="1" applyFont="1" applyFill="1" applyBorder="1" applyAlignment="1" quotePrefix="1">
      <alignment horizontal="justify"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164" fontId="12" fillId="0" borderId="1" xfId="23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12" fillId="4" borderId="0" xfId="0" applyNumberFormat="1" applyFont="1" applyFill="1"/>
    <xf numFmtId="0" fontId="3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1" xfId="0" applyNumberFormat="1" applyFont="1" applyFill="1" applyBorder="1" applyAlignment="1" quotePrefix="1">
      <alignment horizontal="justify" vertical="center" wrapText="1"/>
    </xf>
    <xf numFmtId="164" fontId="12" fillId="0" borderId="1" xfId="23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justify" vertical="center" wrapText="1"/>
    </xf>
    <xf numFmtId="49" fontId="12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1" fillId="0" borderId="1" xfId="0" applyNumberFormat="1" applyFont="1" applyFill="1" applyBorder="1" applyAlignment="1">
      <alignment horizontal="justify" vertical="center" wrapText="1"/>
    </xf>
    <xf numFmtId="0" fontId="11" fillId="0" borderId="1" xfId="0" applyNumberFormat="1" applyFont="1" applyFill="1" applyBorder="1" applyAlignment="1" quotePrefix="1">
      <alignment horizontal="justify"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164" fontId="12" fillId="0" borderId="1" xfId="23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justify" vertical="center" wrapText="1"/>
    </xf>
    <xf numFmtId="0" fontId="11" fillId="0" borderId="1" xfId="0" applyNumberFormat="1" applyFont="1" applyFill="1" applyBorder="1" applyAlignment="1" quotePrefix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11" fillId="0" borderId="1" xfId="0" applyNumberFormat="1" applyFont="1" applyFill="1" applyBorder="1" applyAlignment="1">
      <alignment horizontal="justify" vertical="center" wrapText="1"/>
    </xf>
    <xf numFmtId="0" fontId="11" fillId="0" borderId="1" xfId="0" applyNumberFormat="1" applyFont="1" applyFill="1" applyBorder="1" applyAlignment="1" quotePrefix="1">
      <alignment horizontal="justify" vertical="center" wrapText="1"/>
    </xf>
    <xf numFmtId="0" fontId="3" fillId="5" borderId="0" xfId="0" applyFont="1" applyFill="1"/>
    <xf numFmtId="0" fontId="20" fillId="0" borderId="1" xfId="0" applyNumberFormat="1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12" fillId="4" borderId="0" xfId="23" applyFont="1" applyFill="1"/>
    <xf numFmtId="0" fontId="12" fillId="0" borderId="2" xfId="0" applyFont="1" applyBorder="1" applyAlignment="1">
      <alignment horizontal="center" vertical="center"/>
    </xf>
    <xf numFmtId="164" fontId="12" fillId="0" borderId="1" xfId="23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vertical="center"/>
    </xf>
    <xf numFmtId="0" fontId="11" fillId="0" borderId="1" xfId="0" applyNumberFormat="1" applyFont="1" applyFill="1" applyBorder="1" applyAlignment="1" quotePrefix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0" fontId="20" fillId="0" borderId="3" xfId="0" applyNumberFormat="1" applyFont="1" applyBorder="1" applyAlignment="1" quotePrefix="1">
      <alignment horizontal="left" vertical="top" wrapText="1"/>
    </xf>
    <xf numFmtId="0" fontId="2" fillId="0" borderId="0" xfId="0" applyFont="1" applyFill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3" fillId="0" borderId="2" xfId="20" applyNumberFormat="1" applyFont="1" applyFill="1" applyBorder="1" applyAlignment="1">
      <alignment horizontal="left" vertical="center" wrapText="1"/>
      <protection/>
    </xf>
    <xf numFmtId="0" fontId="3" fillId="0" borderId="5" xfId="20" applyNumberFormat="1" applyFont="1" applyFill="1" applyBorder="1" applyAlignment="1">
      <alignment horizontal="left" vertical="center" wrapText="1"/>
      <protection/>
    </xf>
    <xf numFmtId="0" fontId="3" fillId="0" borderId="4" xfId="20" applyNumberFormat="1" applyFont="1" applyFill="1" applyBorder="1" applyAlignment="1">
      <alignment horizontal="left" vertical="center" wrapText="1"/>
      <protection/>
    </xf>
    <xf numFmtId="0" fontId="12" fillId="0" borderId="1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 quotePrefix="1">
      <alignment horizontal="left" vertical="center" wrapText="1"/>
    </xf>
    <xf numFmtId="0" fontId="5" fillId="0" borderId="5" xfId="0" applyNumberFormat="1" applyFont="1" applyFill="1" applyBorder="1" applyAlignment="1" quotePrefix="1">
      <alignment horizontal="left" vertical="center" wrapText="1"/>
    </xf>
    <xf numFmtId="0" fontId="12" fillId="0" borderId="1" xfId="0" applyFont="1" applyBorder="1" applyAlignment="1">
      <alignment horizontal="justify" vertical="center" wrapText="1"/>
    </xf>
    <xf numFmtId="0" fontId="12" fillId="2" borderId="1" xfId="0" applyNumberFormat="1" applyFont="1" applyFill="1" applyBorder="1" applyAlignment="1">
      <alignment horizontal="justify" vertical="center" wrapText="1"/>
    </xf>
    <xf numFmtId="0" fontId="11" fillId="0" borderId="2" xfId="0" applyNumberFormat="1" applyFont="1" applyFill="1" applyBorder="1" applyAlignment="1" quotePrefix="1">
      <alignment horizontal="left" vertical="center" wrapText="1"/>
    </xf>
    <xf numFmtId="0" fontId="11" fillId="0" borderId="5" xfId="0" applyNumberFormat="1" applyFont="1" applyFill="1" applyBorder="1" applyAlignment="1" quotePrefix="1">
      <alignment horizontal="left" vertical="center" wrapText="1"/>
    </xf>
    <xf numFmtId="0" fontId="11" fillId="0" borderId="7" xfId="0" applyNumberFormat="1" applyFont="1" applyFill="1" applyBorder="1" applyAlignment="1" quotePrefix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justify" vertical="center" wrapText="1"/>
    </xf>
    <xf numFmtId="0" fontId="11" fillId="0" borderId="1" xfId="0" applyNumberFormat="1" applyFont="1" applyFill="1" applyBorder="1" applyAlignment="1">
      <alignment horizontal="justify" vertical="center" wrapText="1"/>
    </xf>
    <xf numFmtId="0" fontId="11" fillId="0" borderId="1" xfId="0" applyNumberFormat="1" applyFont="1" applyFill="1" applyBorder="1" applyAlignment="1" quotePrefix="1">
      <alignment horizontal="justify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left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4" xfId="0" applyNumberFormat="1" applyFont="1" applyFill="1" applyBorder="1" applyAlignment="1" quotePrefix="1">
      <alignment horizontal="left" vertical="center" wrapText="1"/>
    </xf>
    <xf numFmtId="164" fontId="12" fillId="0" borderId="1" xfId="23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top" wrapText="1"/>
    </xf>
    <xf numFmtId="0" fontId="0" fillId="0" borderId="1" xfId="0" applyBorder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 2" xfId="21"/>
    <cellStyle name="Обычный_Лист1_1" xfId="22"/>
    <cellStyle name="Финансовый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workbookViewId="0" topLeftCell="A1">
      <selection activeCell="A12" sqref="A12:F12"/>
    </sheetView>
  </sheetViews>
  <sheetFormatPr defaultColWidth="34.00390625" defaultRowHeight="15"/>
  <cols>
    <col min="1" max="1" width="5.57421875" style="71" customWidth="1"/>
    <col min="2" max="2" width="58.00390625" style="62" customWidth="1"/>
    <col min="3" max="3" width="11.28125" style="71" customWidth="1"/>
    <col min="4" max="4" width="15.421875" style="71" customWidth="1"/>
    <col min="5" max="5" width="14.00390625" style="71" customWidth="1"/>
    <col min="6" max="6" width="14.28125" style="71" customWidth="1"/>
    <col min="7" max="16384" width="34.00390625" style="71" customWidth="1"/>
  </cols>
  <sheetData>
    <row r="1" ht="15">
      <c r="D1" s="92" t="s">
        <v>595</v>
      </c>
    </row>
    <row r="2" ht="15">
      <c r="D2" s="71" t="s">
        <v>606</v>
      </c>
    </row>
    <row r="3" ht="15">
      <c r="D3" s="71" t="s">
        <v>511</v>
      </c>
    </row>
    <row r="4" ht="15">
      <c r="D4" s="19" t="s">
        <v>607</v>
      </c>
    </row>
    <row r="6" spans="1:6" ht="15">
      <c r="A6" s="69"/>
      <c r="C6" s="70"/>
      <c r="D6" s="92" t="s">
        <v>384</v>
      </c>
      <c r="E6" s="72"/>
      <c r="F6" s="16"/>
    </row>
    <row r="7" spans="1:6" ht="15">
      <c r="A7" s="69"/>
      <c r="C7" s="70"/>
      <c r="D7" s="71" t="s">
        <v>606</v>
      </c>
      <c r="E7" s="72"/>
      <c r="F7" s="17"/>
    </row>
    <row r="8" spans="1:6" ht="15">
      <c r="A8" s="69"/>
      <c r="C8" s="70"/>
      <c r="D8" s="71" t="s">
        <v>385</v>
      </c>
      <c r="E8" s="72"/>
      <c r="F8" s="17"/>
    </row>
    <row r="9" spans="1:6" ht="15">
      <c r="A9" s="69"/>
      <c r="C9" s="70"/>
      <c r="D9" s="71" t="s">
        <v>490</v>
      </c>
      <c r="E9" s="72"/>
      <c r="F9" s="18"/>
    </row>
    <row r="10" spans="1:6" ht="15">
      <c r="A10" s="69"/>
      <c r="C10" s="70"/>
      <c r="D10" s="19" t="s">
        <v>512</v>
      </c>
      <c r="E10" s="19"/>
      <c r="F10" s="20"/>
    </row>
    <row r="12" spans="1:6" ht="60.75" customHeight="1">
      <c r="A12" s="315" t="s">
        <v>489</v>
      </c>
      <c r="B12" s="315"/>
      <c r="C12" s="315"/>
      <c r="D12" s="315"/>
      <c r="E12" s="315"/>
      <c r="F12" s="315"/>
    </row>
    <row r="13" spans="1:6" ht="15">
      <c r="A13" s="35"/>
      <c r="B13" s="63"/>
      <c r="C13" s="36"/>
      <c r="D13" s="36"/>
      <c r="E13" s="36"/>
      <c r="F13" s="36"/>
    </row>
    <row r="14" spans="1:6" ht="15">
      <c r="A14" s="21"/>
      <c r="B14" s="64"/>
      <c r="C14" s="22"/>
      <c r="D14" s="23"/>
      <c r="E14" s="23"/>
      <c r="F14" s="23" t="s">
        <v>0</v>
      </c>
    </row>
    <row r="15" spans="1:6" ht="46.8">
      <c r="A15" s="24" t="s">
        <v>1</v>
      </c>
      <c r="B15" s="65" t="s">
        <v>233</v>
      </c>
      <c r="C15" s="25" t="s">
        <v>4</v>
      </c>
      <c r="D15" s="2" t="s">
        <v>487</v>
      </c>
      <c r="E15" s="2" t="s">
        <v>234</v>
      </c>
      <c r="F15" s="2" t="s">
        <v>488</v>
      </c>
    </row>
    <row r="16" spans="1:6" ht="15">
      <c r="A16" s="26"/>
      <c r="B16" s="66" t="s">
        <v>7</v>
      </c>
      <c r="C16" s="27" t="s">
        <v>8</v>
      </c>
      <c r="D16" s="27" t="s">
        <v>9</v>
      </c>
      <c r="E16" s="27" t="s">
        <v>10</v>
      </c>
      <c r="F16" s="27" t="s">
        <v>11</v>
      </c>
    </row>
    <row r="17" spans="1:6" ht="15">
      <c r="A17" s="95">
        <v>1</v>
      </c>
      <c r="B17" s="96" t="s">
        <v>235</v>
      </c>
      <c r="C17" s="93" t="s">
        <v>59</v>
      </c>
      <c r="D17" s="97">
        <f>D18+D19+D20+D21+D22+D23</f>
        <v>103748.82999999999</v>
      </c>
      <c r="E17" s="97">
        <f aca="true" t="shared" si="0" ref="E17:F17">E18+E19+E20+E21+E22+E23</f>
        <v>91747.45</v>
      </c>
      <c r="F17" s="97">
        <f t="shared" si="0"/>
        <v>82747.45</v>
      </c>
    </row>
    <row r="18" spans="1:6" ht="31.2">
      <c r="A18" s="28">
        <v>2</v>
      </c>
      <c r="B18" s="67" t="s">
        <v>236</v>
      </c>
      <c r="C18" s="29" t="s">
        <v>400</v>
      </c>
      <c r="D18" s="34">
        <f>'приложение 4'!G180</f>
        <v>1105.63</v>
      </c>
      <c r="E18" s="34">
        <f>'приложение 4'!H180</f>
        <v>1105.63</v>
      </c>
      <c r="F18" s="34">
        <f>'приложение 4'!I180</f>
        <v>1105.63</v>
      </c>
    </row>
    <row r="19" spans="1:6" ht="46.8">
      <c r="A19" s="28">
        <v>3</v>
      </c>
      <c r="B19" s="67" t="s">
        <v>237</v>
      </c>
      <c r="C19" s="29" t="s">
        <v>414</v>
      </c>
      <c r="D19" s="34">
        <f>'приложение 4'!G841</f>
        <v>4520.1</v>
      </c>
      <c r="E19" s="34">
        <f>'приложение 4'!H841</f>
        <v>6666.9</v>
      </c>
      <c r="F19" s="34">
        <f>'приложение 4'!I841</f>
        <v>6666.9</v>
      </c>
    </row>
    <row r="20" spans="1:6" ht="62.4">
      <c r="A20" s="28">
        <v>4</v>
      </c>
      <c r="B20" s="67" t="s">
        <v>27</v>
      </c>
      <c r="C20" s="29" t="s">
        <v>388</v>
      </c>
      <c r="D20" s="34">
        <f>'приложение 4'!G24+'приложение 4'!G184</f>
        <v>24077.199999999993</v>
      </c>
      <c r="E20" s="34">
        <f>'приложение 4'!H24+'приложение 4'!H184</f>
        <v>24998.649999999998</v>
      </c>
      <c r="F20" s="34">
        <f>'приложение 4'!I24+'приложение 4'!I184</f>
        <v>24998.649999999998</v>
      </c>
    </row>
    <row r="21" spans="1:6" ht="46.8">
      <c r="A21" s="28">
        <v>5</v>
      </c>
      <c r="B21" s="67" t="s">
        <v>18</v>
      </c>
      <c r="C21" s="29" t="s">
        <v>19</v>
      </c>
      <c r="D21" s="34">
        <f>'приложение 4'!G29+'приложение 4'!G829</f>
        <v>11672.099999999999</v>
      </c>
      <c r="E21" s="34">
        <f>'приложение 4'!H29+'приложение 4'!H829</f>
        <v>11814.96</v>
      </c>
      <c r="F21" s="34">
        <f>'приложение 4'!I29+'приложение 4'!I829</f>
        <v>11814.96</v>
      </c>
    </row>
    <row r="22" spans="1:6" ht="15">
      <c r="A22" s="28">
        <v>6</v>
      </c>
      <c r="B22" s="67" t="s">
        <v>66</v>
      </c>
      <c r="C22" s="29" t="s">
        <v>401</v>
      </c>
      <c r="D22" s="34">
        <f>'приложение 4'!G204</f>
        <v>339.29</v>
      </c>
      <c r="E22" s="34">
        <f>'приложение 4'!H204</f>
        <v>350</v>
      </c>
      <c r="F22" s="34">
        <f>'приложение 4'!I204</f>
        <v>350</v>
      </c>
    </row>
    <row r="23" spans="1:6" ht="15">
      <c r="A23" s="28">
        <v>7</v>
      </c>
      <c r="B23" s="67" t="s">
        <v>70</v>
      </c>
      <c r="C23" s="29" t="s">
        <v>186</v>
      </c>
      <c r="D23" s="34">
        <f>'приложение 4'!G39+'приложение 4'!G205+'приложение 4'!G355+'приложение 4'!G372+'приложение 4'!G384+'приложение 4'!G402+'приложение 4'!G461</f>
        <v>62034.509999999995</v>
      </c>
      <c r="E23" s="34">
        <f>'приложение 4'!H39+'приложение 4'!H205+'приложение 4'!H355+'приложение 4'!H372+'приложение 4'!H384+'приложение 4'!H402+'приложение 4'!H461</f>
        <v>46811.31</v>
      </c>
      <c r="F23" s="34">
        <f>'приложение 4'!I39+'приложение 4'!I205+'приложение 4'!I355+'приложение 4'!I372+'приложение 4'!I384+'приложение 4'!I402+'приложение 4'!I461</f>
        <v>37811.31</v>
      </c>
    </row>
    <row r="24" spans="1:6" ht="15">
      <c r="A24" s="95">
        <v>8</v>
      </c>
      <c r="B24" s="96" t="s">
        <v>238</v>
      </c>
      <c r="C24" s="93" t="s">
        <v>389</v>
      </c>
      <c r="D24" s="94">
        <f>D25</f>
        <v>1451</v>
      </c>
      <c r="E24" s="94">
        <f aca="true" t="shared" si="1" ref="E24:F24">E25</f>
        <v>0</v>
      </c>
      <c r="F24" s="94">
        <f t="shared" si="1"/>
        <v>0</v>
      </c>
    </row>
    <row r="25" spans="1:6" ht="15">
      <c r="A25" s="28">
        <v>9</v>
      </c>
      <c r="B25" s="67" t="s">
        <v>35</v>
      </c>
      <c r="C25" s="29" t="s">
        <v>390</v>
      </c>
      <c r="D25" s="34">
        <f>'приложение 4'!G49</f>
        <v>1451</v>
      </c>
      <c r="E25" s="34">
        <f>'приложение 4'!H49</f>
        <v>0</v>
      </c>
      <c r="F25" s="34">
        <f>'приложение 4'!I49</f>
        <v>0</v>
      </c>
    </row>
    <row r="26" spans="1:6" ht="31.2">
      <c r="A26" s="95">
        <v>10</v>
      </c>
      <c r="B26" s="96" t="s">
        <v>239</v>
      </c>
      <c r="C26" s="93" t="s">
        <v>412</v>
      </c>
      <c r="D26" s="94">
        <f>D27+D28</f>
        <v>4175.68</v>
      </c>
      <c r="E26" s="94">
        <f aca="true" t="shared" si="2" ref="E26:F26">E27+E28</f>
        <v>2684.0099999999998</v>
      </c>
      <c r="F26" s="94">
        <f t="shared" si="2"/>
        <v>2684.0099999999998</v>
      </c>
    </row>
    <row r="27" spans="1:6" ht="46.8">
      <c r="A27" s="28">
        <v>11</v>
      </c>
      <c r="B27" s="67" t="s">
        <v>177</v>
      </c>
      <c r="C27" s="29" t="s">
        <v>413</v>
      </c>
      <c r="D27" s="34">
        <f>'приложение 4'!G335</f>
        <v>3783.18</v>
      </c>
      <c r="E27" s="34">
        <f>'приложение 4'!H335</f>
        <v>2684.0099999999998</v>
      </c>
      <c r="F27" s="34">
        <f>'приложение 4'!I335</f>
        <v>2684.0099999999998</v>
      </c>
    </row>
    <row r="28" spans="1:6" ht="15">
      <c r="A28" s="28">
        <v>12</v>
      </c>
      <c r="B28" s="184" t="s">
        <v>521</v>
      </c>
      <c r="C28" s="173" t="s">
        <v>522</v>
      </c>
      <c r="D28" s="34">
        <f>'приложение 4'!G60</f>
        <v>392.5</v>
      </c>
      <c r="E28" s="34">
        <f>'приложение 4'!H60</f>
        <v>0</v>
      </c>
      <c r="F28" s="34">
        <f>'приложение 4'!I60</f>
        <v>0</v>
      </c>
    </row>
    <row r="29" spans="1:6" ht="15">
      <c r="A29" s="95">
        <v>13</v>
      </c>
      <c r="B29" s="96" t="s">
        <v>240</v>
      </c>
      <c r="C29" s="93" t="s">
        <v>391</v>
      </c>
      <c r="D29" s="97">
        <f>D30+D31+D32+D33+D35+D34</f>
        <v>45089.69</v>
      </c>
      <c r="E29" s="97">
        <f aca="true" t="shared" si="3" ref="E29:F29">E30+E31+E32+E33+E35+E34</f>
        <v>11505.5</v>
      </c>
      <c r="F29" s="97">
        <f t="shared" si="3"/>
        <v>11505.5</v>
      </c>
    </row>
    <row r="30" spans="1:6" ht="15">
      <c r="A30" s="28">
        <v>14</v>
      </c>
      <c r="B30" s="67" t="s">
        <v>241</v>
      </c>
      <c r="C30" s="29" t="s">
        <v>392</v>
      </c>
      <c r="D30" s="34">
        <f>'приложение 4'!G62</f>
        <v>500</v>
      </c>
      <c r="E30" s="34">
        <f>'приложение 4'!H62</f>
        <v>0</v>
      </c>
      <c r="F30" s="34">
        <f>'приложение 4'!I62</f>
        <v>0</v>
      </c>
    </row>
    <row r="31" spans="1:6" ht="15">
      <c r="A31" s="28">
        <v>15</v>
      </c>
      <c r="B31" s="67" t="s">
        <v>83</v>
      </c>
      <c r="C31" s="29" t="s">
        <v>402</v>
      </c>
      <c r="D31" s="34">
        <f>'приложение 4'!G236</f>
        <v>546.9</v>
      </c>
      <c r="E31" s="34">
        <f>'приложение 4'!H236</f>
        <v>546.9</v>
      </c>
      <c r="F31" s="34">
        <f>'приложение 4'!I236</f>
        <v>546.9</v>
      </c>
    </row>
    <row r="32" spans="1:6" ht="15">
      <c r="A32" s="28">
        <v>16</v>
      </c>
      <c r="B32" s="67" t="s">
        <v>82</v>
      </c>
      <c r="C32" s="29" t="s">
        <v>282</v>
      </c>
      <c r="D32" s="34">
        <f>'приложение 4'!G255</f>
        <v>9699.949999999999</v>
      </c>
      <c r="E32" s="34">
        <f>'приложение 4'!H255</f>
        <v>9952.4</v>
      </c>
      <c r="F32" s="34">
        <f>'приложение 4'!I255</f>
        <v>9952.4</v>
      </c>
    </row>
    <row r="33" spans="1:6" ht="15">
      <c r="A33" s="28">
        <v>17</v>
      </c>
      <c r="B33" s="67" t="s">
        <v>242</v>
      </c>
      <c r="C33" s="29" t="s">
        <v>403</v>
      </c>
      <c r="D33" s="34">
        <f>'приложение 4'!G264+'приложение 4'!G80+'приложение 4'!G83+'приложение 4'!G76+'приложение 4'!G84</f>
        <v>28304.84</v>
      </c>
      <c r="E33" s="34">
        <f>'приложение 4'!H264+'приложение 4'!H80+'приложение 4'!H83+'приложение 4'!H76</f>
        <v>430.6</v>
      </c>
      <c r="F33" s="34">
        <f>'приложение 4'!I264+'приложение 4'!I80+'приложение 4'!I83+'приложение 4'!I76</f>
        <v>430.6</v>
      </c>
    </row>
    <row r="34" spans="1:6" ht="15">
      <c r="A34" s="28">
        <v>18</v>
      </c>
      <c r="B34" s="209" t="s">
        <v>557</v>
      </c>
      <c r="C34" s="173" t="s">
        <v>558</v>
      </c>
      <c r="D34" s="34">
        <f>'приложение 4'!G277+'приложение 4'!G87</f>
        <v>5522.4</v>
      </c>
      <c r="E34" s="34">
        <f>'приложение 4'!H277+'приложение 4'!H87</f>
        <v>0</v>
      </c>
      <c r="F34" s="34">
        <f>'приложение 4'!I277+'приложение 4'!I87</f>
        <v>0</v>
      </c>
    </row>
    <row r="35" spans="1:6" ht="15">
      <c r="A35" s="28">
        <v>19</v>
      </c>
      <c r="B35" s="67" t="s">
        <v>93</v>
      </c>
      <c r="C35" s="29" t="s">
        <v>404</v>
      </c>
      <c r="D35" s="34">
        <f>'приложение 4'!G286+'приложение 4'!G420</f>
        <v>515.6</v>
      </c>
      <c r="E35" s="34">
        <f>'приложение 4'!H286+'приложение 4'!H420</f>
        <v>575.6</v>
      </c>
      <c r="F35" s="34">
        <f>'приложение 4'!I286+'приложение 4'!I420</f>
        <v>575.6</v>
      </c>
    </row>
    <row r="36" spans="1:6" ht="15">
      <c r="A36" s="95">
        <v>20</v>
      </c>
      <c r="B36" s="96" t="s">
        <v>243</v>
      </c>
      <c r="C36" s="93" t="s">
        <v>393</v>
      </c>
      <c r="D36" s="94">
        <f>D37+D38+D39+D40</f>
        <v>187174.46</v>
      </c>
      <c r="E36" s="94">
        <f aca="true" t="shared" si="4" ref="E36:F36">E37+E38+E39+E40</f>
        <v>87561.1</v>
      </c>
      <c r="F36" s="94">
        <f t="shared" si="4"/>
        <v>86761.1</v>
      </c>
    </row>
    <row r="37" spans="1:6" ht="15">
      <c r="A37" s="28">
        <v>21</v>
      </c>
      <c r="B37" s="67" t="s">
        <v>244</v>
      </c>
      <c r="C37" s="29" t="s">
        <v>497</v>
      </c>
      <c r="D37" s="34">
        <f>'приложение 4'!G94</f>
        <v>79738.28</v>
      </c>
      <c r="E37" s="34">
        <f>'приложение 4'!H94</f>
        <v>0</v>
      </c>
      <c r="F37" s="34">
        <f>'приложение 4'!I94</f>
        <v>0</v>
      </c>
    </row>
    <row r="38" spans="1:6" ht="15">
      <c r="A38" s="28">
        <v>22</v>
      </c>
      <c r="B38" s="67" t="s">
        <v>245</v>
      </c>
      <c r="C38" s="29" t="s">
        <v>394</v>
      </c>
      <c r="D38" s="34">
        <f>'приложение 4'!G299+'приложение 4'!G107+'приложение 4'!G491+'приложение 4'!G427</f>
        <v>104692.5</v>
      </c>
      <c r="E38" s="34">
        <f>'приложение 4'!H299+'приложение 4'!H107+'приложение 4'!H491+'приложение 4'!H427</f>
        <v>85561.1</v>
      </c>
      <c r="F38" s="34">
        <f>'приложение 4'!I299+'приложение 4'!I107+'приложение 4'!I491+'приложение 4'!I427</f>
        <v>82761.1</v>
      </c>
    </row>
    <row r="39" spans="1:6" ht="15">
      <c r="A39" s="28">
        <v>23</v>
      </c>
      <c r="B39" s="67" t="s">
        <v>247</v>
      </c>
      <c r="C39" s="29" t="s">
        <v>395</v>
      </c>
      <c r="D39" s="34">
        <f>'приложение 4'!G128</f>
        <v>2743.68</v>
      </c>
      <c r="E39" s="34">
        <f>'приложение 4'!H128</f>
        <v>2000</v>
      </c>
      <c r="F39" s="34">
        <f>'приложение 4'!I128</f>
        <v>4000</v>
      </c>
    </row>
    <row r="40" spans="1:6" ht="31.2">
      <c r="A40" s="28">
        <v>24</v>
      </c>
      <c r="B40" s="67" t="s">
        <v>248</v>
      </c>
      <c r="C40" s="29" t="s">
        <v>510</v>
      </c>
      <c r="D40" s="34">
        <v>0</v>
      </c>
      <c r="E40" s="34">
        <v>0</v>
      </c>
      <c r="F40" s="34">
        <v>0</v>
      </c>
    </row>
    <row r="41" spans="1:6" ht="15">
      <c r="A41" s="95">
        <v>25</v>
      </c>
      <c r="B41" s="96" t="s">
        <v>249</v>
      </c>
      <c r="C41" s="93" t="s">
        <v>405</v>
      </c>
      <c r="D41" s="94">
        <f>D42+D43+D44+D45</f>
        <v>501366.1600000001</v>
      </c>
      <c r="E41" s="94">
        <f aca="true" t="shared" si="5" ref="E41:F41">E42+E43+E44+E45</f>
        <v>485390.14</v>
      </c>
      <c r="F41" s="94">
        <f t="shared" si="5"/>
        <v>533390.14</v>
      </c>
    </row>
    <row r="42" spans="1:6" ht="15">
      <c r="A42" s="28">
        <v>26</v>
      </c>
      <c r="B42" s="67" t="s">
        <v>250</v>
      </c>
      <c r="C42" s="29" t="s">
        <v>407</v>
      </c>
      <c r="D42" s="34">
        <f>'приложение 4'!G507</f>
        <v>158752.31999999998</v>
      </c>
      <c r="E42" s="34">
        <f>'приложение 4'!H507</f>
        <v>163484.28999999998</v>
      </c>
      <c r="F42" s="34">
        <f>'приложение 4'!I507</f>
        <v>163484.28999999998</v>
      </c>
    </row>
    <row r="43" spans="1:6" ht="15">
      <c r="A43" s="28">
        <v>27</v>
      </c>
      <c r="B43" s="67" t="s">
        <v>135</v>
      </c>
      <c r="C43" s="29" t="s">
        <v>386</v>
      </c>
      <c r="D43" s="34">
        <f>'приложение 4'!G617+'приложение 4'!G528</f>
        <v>311614.3900000001</v>
      </c>
      <c r="E43" s="34">
        <f>'приложение 4'!H617+'приложение 4'!H528</f>
        <v>290038.02</v>
      </c>
      <c r="F43" s="34">
        <f>'приложение 4'!I617+'приложение 4'!I528</f>
        <v>290038.02</v>
      </c>
    </row>
    <row r="44" spans="1:6" ht="15">
      <c r="A44" s="28">
        <v>28</v>
      </c>
      <c r="B44" s="67" t="s">
        <v>153</v>
      </c>
      <c r="C44" s="29" t="s">
        <v>316</v>
      </c>
      <c r="D44" s="34">
        <f>'приложение 4'!G574+'приложение 4'!G636</f>
        <v>5976.030000000002</v>
      </c>
      <c r="E44" s="34">
        <f>'приложение 4'!H574+'приложение 4'!H636</f>
        <v>5776.970000000001</v>
      </c>
      <c r="F44" s="34">
        <f>'приложение 4'!I574+'приложение 4'!I636</f>
        <v>5776.970000000001</v>
      </c>
    </row>
    <row r="45" spans="1:6" ht="15">
      <c r="A45" s="28">
        <v>29</v>
      </c>
      <c r="B45" s="67" t="s">
        <v>107</v>
      </c>
      <c r="C45" s="29" t="s">
        <v>406</v>
      </c>
      <c r="D45" s="34">
        <f>'приложение 4'!G308+'приложение 4'!G583+'приложение 4'!G436</f>
        <v>25023.42</v>
      </c>
      <c r="E45" s="34">
        <f>'приложение 4'!H308+'приложение 4'!H583+'приложение 4'!H436</f>
        <v>26090.859999999997</v>
      </c>
      <c r="F45" s="34">
        <f>'приложение 4'!I308+'приложение 4'!I583+'приложение 4'!I436</f>
        <v>74090.86</v>
      </c>
    </row>
    <row r="46" spans="1:6" ht="15">
      <c r="A46" s="95">
        <v>30</v>
      </c>
      <c r="B46" s="96" t="s">
        <v>251</v>
      </c>
      <c r="C46" s="93" t="s">
        <v>408</v>
      </c>
      <c r="D46" s="94">
        <f>D47+D48</f>
        <v>78764.48</v>
      </c>
      <c r="E46" s="94">
        <f aca="true" t="shared" si="6" ref="E46:F46">E47+E48</f>
        <v>60638.02</v>
      </c>
      <c r="F46" s="94">
        <f t="shared" si="6"/>
        <v>60638.02</v>
      </c>
    </row>
    <row r="47" spans="1:6" ht="15">
      <c r="A47" s="28">
        <v>31</v>
      </c>
      <c r="B47" s="67" t="s">
        <v>143</v>
      </c>
      <c r="C47" s="29" t="s">
        <v>409</v>
      </c>
      <c r="D47" s="34">
        <f>'приложение 4'!G671+'приложение 4'!G135</f>
        <v>62048.079999999994</v>
      </c>
      <c r="E47" s="34">
        <f>'приложение 4'!H671+'приложение 4'!H135</f>
        <v>53382.189999999995</v>
      </c>
      <c r="F47" s="34">
        <f>'приложение 4'!I671+'приложение 4'!I135</f>
        <v>53382.189999999995</v>
      </c>
    </row>
    <row r="48" spans="1:6" ht="15">
      <c r="A48" s="28">
        <v>32</v>
      </c>
      <c r="B48" s="67" t="s">
        <v>167</v>
      </c>
      <c r="C48" s="29" t="s">
        <v>410</v>
      </c>
      <c r="D48" s="34">
        <f>'приложение 4'!G724+'приложение 4'!G749</f>
        <v>16716.4</v>
      </c>
      <c r="E48" s="34">
        <f>'приложение 4'!H724+'приложение 4'!H749</f>
        <v>7255.83</v>
      </c>
      <c r="F48" s="34">
        <f>'приложение 4'!I724+'приложение 4'!I749</f>
        <v>7255.83</v>
      </c>
    </row>
    <row r="49" spans="1:6" ht="15">
      <c r="A49" s="95">
        <v>33</v>
      </c>
      <c r="B49" s="96" t="s">
        <v>252</v>
      </c>
      <c r="C49" s="93" t="s">
        <v>118</v>
      </c>
      <c r="D49" s="94">
        <f>D50+D51+D52+D53+D54</f>
        <v>73272.415</v>
      </c>
      <c r="E49" s="94">
        <f aca="true" t="shared" si="7" ref="E49:F49">E50+E51+E52+E53+E54</f>
        <v>70887</v>
      </c>
      <c r="F49" s="94">
        <f t="shared" si="7"/>
        <v>72887</v>
      </c>
    </row>
    <row r="50" spans="1:6" ht="15">
      <c r="A50" s="28">
        <v>34</v>
      </c>
      <c r="B50" s="67" t="s">
        <v>197</v>
      </c>
      <c r="C50" s="29" t="s">
        <v>198</v>
      </c>
      <c r="D50" s="34">
        <f>'приложение 4'!G760</f>
        <v>420.93</v>
      </c>
      <c r="E50" s="34">
        <f>'приложение 4'!H760</f>
        <v>490</v>
      </c>
      <c r="F50" s="34">
        <f>'приложение 4'!I760</f>
        <v>490</v>
      </c>
    </row>
    <row r="51" spans="1:6" ht="15">
      <c r="A51" s="28">
        <v>35</v>
      </c>
      <c r="B51" s="67" t="s">
        <v>207</v>
      </c>
      <c r="C51" s="29" t="s">
        <v>208</v>
      </c>
      <c r="D51" s="34">
        <f>'приложение 4'!G768</f>
        <v>48748.479999999996</v>
      </c>
      <c r="E51" s="34">
        <f>'приложение 4'!H768</f>
        <v>43465.5</v>
      </c>
      <c r="F51" s="34">
        <f>'приложение 4'!I768</f>
        <v>43465.5</v>
      </c>
    </row>
    <row r="52" spans="1:6" ht="15">
      <c r="A52" s="28">
        <v>36</v>
      </c>
      <c r="B52" s="67" t="s">
        <v>213</v>
      </c>
      <c r="C52" s="29" t="s">
        <v>214</v>
      </c>
      <c r="D52" s="216">
        <f>'приложение 4'!G318+'приложение 4'!G777+'приложение 4'!G609</f>
        <v>7238.9</v>
      </c>
      <c r="E52" s="34">
        <f>'приложение 4'!H318+'приложение 4'!H777+'приложение 4'!H609</f>
        <v>10999</v>
      </c>
      <c r="F52" s="34">
        <f>'приложение 4'!I318+'приложение 4'!I777+'приложение 4'!I609</f>
        <v>10999</v>
      </c>
    </row>
    <row r="53" spans="1:6" ht="15">
      <c r="A53" s="28">
        <v>37</v>
      </c>
      <c r="B53" s="67" t="s">
        <v>115</v>
      </c>
      <c r="C53" s="29" t="s">
        <v>116</v>
      </c>
      <c r="D53" s="34">
        <f>'приложение 4'!G324</f>
        <v>5800.9</v>
      </c>
      <c r="E53" s="34">
        <f>'приложение 4'!H324</f>
        <v>947</v>
      </c>
      <c r="F53" s="34">
        <f>'приложение 4'!I324</f>
        <v>947</v>
      </c>
    </row>
    <row r="54" spans="1:6" ht="15">
      <c r="A54" s="28">
        <v>38</v>
      </c>
      <c r="B54" s="67" t="s">
        <v>218</v>
      </c>
      <c r="C54" s="29" t="s">
        <v>411</v>
      </c>
      <c r="D54" s="34">
        <f>'приложение 4'!G785</f>
        <v>11063.205</v>
      </c>
      <c r="E54" s="34">
        <f>'приложение 4'!H785</f>
        <v>14985.5</v>
      </c>
      <c r="F54" s="34">
        <f>'приложение 4'!I785</f>
        <v>16985.5</v>
      </c>
    </row>
    <row r="55" spans="1:6" ht="15">
      <c r="A55" s="95">
        <v>39</v>
      </c>
      <c r="B55" s="98" t="s">
        <v>374</v>
      </c>
      <c r="C55" s="172" t="s">
        <v>481</v>
      </c>
      <c r="D55" s="94">
        <f>D56+D57</f>
        <v>1850</v>
      </c>
      <c r="E55" s="94">
        <f aca="true" t="shared" si="8" ref="E55:F55">E56+E57</f>
        <v>200</v>
      </c>
      <c r="F55" s="94">
        <f t="shared" si="8"/>
        <v>200</v>
      </c>
    </row>
    <row r="56" spans="1:6" ht="15">
      <c r="A56" s="28">
        <v>40</v>
      </c>
      <c r="B56" s="134" t="s">
        <v>482</v>
      </c>
      <c r="C56" s="173" t="s">
        <v>480</v>
      </c>
      <c r="D56" s="34">
        <f>'приложение 4'!G742+'приложение 4'!G452</f>
        <v>200</v>
      </c>
      <c r="E56" s="34">
        <f>'приложение 4'!H742+'приложение 4'!H452</f>
        <v>200</v>
      </c>
      <c r="F56" s="34">
        <f>'приложение 4'!I742+'приложение 4'!I452</f>
        <v>200</v>
      </c>
    </row>
    <row r="57" spans="1:6" ht="15">
      <c r="A57" s="28">
        <v>41</v>
      </c>
      <c r="B57" s="134" t="s">
        <v>554</v>
      </c>
      <c r="C57" s="173" t="s">
        <v>552</v>
      </c>
      <c r="D57" s="34">
        <f>'приложение 4'!G453</f>
        <v>1650</v>
      </c>
      <c r="E57" s="34">
        <f>'приложение 4'!H453</f>
        <v>0</v>
      </c>
      <c r="F57" s="34">
        <f>'приложение 4'!I453</f>
        <v>0</v>
      </c>
    </row>
    <row r="58" spans="1:6" ht="31.2">
      <c r="A58" s="95">
        <v>42</v>
      </c>
      <c r="B58" s="98" t="s">
        <v>383</v>
      </c>
      <c r="C58" s="172" t="s">
        <v>378</v>
      </c>
      <c r="D58" s="94">
        <f>D59</f>
        <v>5</v>
      </c>
      <c r="E58" s="94">
        <f aca="true" t="shared" si="9" ref="E58:F58">E59</f>
        <v>162.5</v>
      </c>
      <c r="F58" s="94">
        <f t="shared" si="9"/>
        <v>162.5</v>
      </c>
    </row>
    <row r="59" spans="1:6" ht="31.2">
      <c r="A59" s="28">
        <v>43</v>
      </c>
      <c r="B59" s="85" t="s">
        <v>379</v>
      </c>
      <c r="C59" s="173" t="s">
        <v>396</v>
      </c>
      <c r="D59" s="34">
        <f>'приложение 4'!G157</f>
        <v>5</v>
      </c>
      <c r="E59" s="34">
        <f>'приложение 4'!H157</f>
        <v>162.5</v>
      </c>
      <c r="F59" s="34">
        <f>'приложение 4'!I157</f>
        <v>162.5</v>
      </c>
    </row>
    <row r="60" spans="1:6" ht="46.8">
      <c r="A60" s="95">
        <v>44</v>
      </c>
      <c r="B60" s="96" t="s">
        <v>253</v>
      </c>
      <c r="C60" s="93" t="s">
        <v>397</v>
      </c>
      <c r="D60" s="94">
        <f>D61+D62</f>
        <v>94689.70999999999</v>
      </c>
      <c r="E60" s="94">
        <f aca="true" t="shared" si="10" ref="E60:F60">E61+E62</f>
        <v>67331.44</v>
      </c>
      <c r="F60" s="94">
        <f t="shared" si="10"/>
        <v>67331.44</v>
      </c>
    </row>
    <row r="61" spans="1:6" ht="46.8">
      <c r="A61" s="28">
        <v>45</v>
      </c>
      <c r="B61" s="67" t="s">
        <v>44</v>
      </c>
      <c r="C61" s="29" t="s">
        <v>398</v>
      </c>
      <c r="D61" s="34">
        <f>'приложение 4'!G159</f>
        <v>46028.93</v>
      </c>
      <c r="E61" s="34">
        <f>'приложение 4'!H159</f>
        <v>36762.130000000005</v>
      </c>
      <c r="F61" s="34">
        <f>'приложение 4'!I159</f>
        <v>36762.130000000005</v>
      </c>
    </row>
    <row r="62" spans="1:6" ht="15">
      <c r="A62" s="28">
        <v>46</v>
      </c>
      <c r="B62" s="67" t="s">
        <v>53</v>
      </c>
      <c r="C62" s="29" t="s">
        <v>399</v>
      </c>
      <c r="D62" s="34">
        <f>'приложение 4'!G168</f>
        <v>48660.78</v>
      </c>
      <c r="E62" s="34">
        <f>'приложение 4'!H168</f>
        <v>30569.31</v>
      </c>
      <c r="F62" s="34">
        <f>'приложение 4'!I168</f>
        <v>30569.31</v>
      </c>
    </row>
    <row r="63" spans="1:6" ht="15">
      <c r="A63" s="28">
        <v>47</v>
      </c>
      <c r="B63" s="67" t="s">
        <v>254</v>
      </c>
      <c r="C63" s="29"/>
      <c r="D63" s="34"/>
      <c r="E63" s="34">
        <f>'приложение 4'!H857</f>
        <v>22112.9</v>
      </c>
      <c r="F63" s="34">
        <f>'приложение 4'!I857</f>
        <v>49167.12</v>
      </c>
    </row>
    <row r="64" spans="1:6" ht="15">
      <c r="A64" s="316" t="s">
        <v>255</v>
      </c>
      <c r="B64" s="316"/>
      <c r="C64" s="93" t="s">
        <v>256</v>
      </c>
      <c r="D64" s="94">
        <f>D17+D24+D26+D29+D36+D41+D46+D49+D60+D55+D58</f>
        <v>1091587.425</v>
      </c>
      <c r="E64" s="94">
        <f>E17+E24+E26+E29+E36+E41+E46+E49+E60+E55+E58+E63</f>
        <v>900220.0599999999</v>
      </c>
      <c r="F64" s="94">
        <f>F17+F24+F26+F29+F36+F41+F46+F49+F60+F55+F58+F63</f>
        <v>967474.2799999999</v>
      </c>
    </row>
    <row r="66" spans="4:6" ht="15">
      <c r="D66" s="73">
        <f>D64-'приложение 4'!G858</f>
        <v>0</v>
      </c>
      <c r="E66" s="73">
        <f>E64-'приложение 4'!H858</f>
        <v>0</v>
      </c>
      <c r="F66" s="73">
        <f>F64-'приложение 4'!I858</f>
        <v>0</v>
      </c>
    </row>
  </sheetData>
  <mergeCells count="2">
    <mergeCell ref="A12:F12"/>
    <mergeCell ref="A64:B64"/>
  </mergeCells>
  <printOptions/>
  <pageMargins left="0.31496062992125984" right="0.1968503937007874" top="0.7480314960629921" bottom="0.31496062992125984" header="0.31496062992125984" footer="0.31496062992125984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60"/>
  <sheetViews>
    <sheetView workbookViewId="0" topLeftCell="A1">
      <selection activeCell="F8" sqref="F8"/>
    </sheetView>
  </sheetViews>
  <sheetFormatPr defaultColWidth="9.140625" defaultRowHeight="15"/>
  <cols>
    <col min="1" max="1" width="5.7109375" style="13" customWidth="1"/>
    <col min="2" max="2" width="52.28125" style="53" customWidth="1"/>
    <col min="3" max="4" width="7.421875" style="44" customWidth="1"/>
    <col min="5" max="5" width="12.7109375" style="44" customWidth="1"/>
    <col min="6" max="6" width="7.57421875" style="44" customWidth="1"/>
    <col min="7" max="7" width="16.57421875" style="41" customWidth="1"/>
    <col min="8" max="8" width="16.421875" style="41" customWidth="1"/>
    <col min="9" max="9" width="15.8515625" style="41" customWidth="1"/>
    <col min="10" max="11" width="14.8515625" style="162" customWidth="1"/>
    <col min="12" max="13" width="9.57421875" style="162" bestFit="1" customWidth="1"/>
    <col min="14" max="16" width="9.140625" style="162" customWidth="1"/>
    <col min="17" max="16384" width="9.140625" style="13" customWidth="1"/>
  </cols>
  <sheetData>
    <row r="1" ht="15">
      <c r="F1" s="100" t="s">
        <v>513</v>
      </c>
    </row>
    <row r="2" ht="15">
      <c r="F2" s="99" t="s">
        <v>606</v>
      </c>
    </row>
    <row r="3" ht="15">
      <c r="F3" s="99" t="s">
        <v>511</v>
      </c>
    </row>
    <row r="4" ht="15">
      <c r="F4" s="99" t="s">
        <v>607</v>
      </c>
    </row>
    <row r="7" ht="15">
      <c r="F7" s="100" t="s">
        <v>387</v>
      </c>
    </row>
    <row r="8" ht="15">
      <c r="F8" s="99" t="s">
        <v>606</v>
      </c>
    </row>
    <row r="9" ht="15">
      <c r="F9" s="99" t="s">
        <v>385</v>
      </c>
    </row>
    <row r="10" ht="15">
      <c r="F10" s="99" t="s">
        <v>437</v>
      </c>
    </row>
    <row r="11" ht="15">
      <c r="F11" s="99" t="s">
        <v>438</v>
      </c>
    </row>
    <row r="12" ht="15">
      <c r="F12" s="99" t="s">
        <v>514</v>
      </c>
    </row>
    <row r="15" spans="1:9" ht="15">
      <c r="A15" s="317" t="s">
        <v>13</v>
      </c>
      <c r="B15" s="317"/>
      <c r="C15" s="317"/>
      <c r="D15" s="317"/>
      <c r="E15" s="317"/>
      <c r="F15" s="317"/>
      <c r="G15" s="317"/>
      <c r="H15" s="317"/>
      <c r="I15" s="317"/>
    </row>
    <row r="16" spans="1:9" ht="15">
      <c r="A16" s="317" t="s">
        <v>439</v>
      </c>
      <c r="B16" s="317"/>
      <c r="C16" s="317"/>
      <c r="D16" s="317"/>
      <c r="E16" s="317"/>
      <c r="F16" s="317"/>
      <c r="G16" s="317"/>
      <c r="H16" s="317"/>
      <c r="I16" s="317"/>
    </row>
    <row r="17" spans="1:9" ht="15">
      <c r="A17" s="101"/>
      <c r="B17" s="101"/>
      <c r="C17" s="101"/>
      <c r="D17" s="101"/>
      <c r="E17" s="101"/>
      <c r="F17" s="101"/>
      <c r="G17" s="101"/>
      <c r="H17" s="101"/>
      <c r="I17" s="101"/>
    </row>
    <row r="18" spans="1:7" ht="15">
      <c r="A18" s="55"/>
      <c r="B18" s="56"/>
      <c r="C18" s="57"/>
      <c r="D18" s="57"/>
      <c r="E18" s="57"/>
      <c r="F18" s="57"/>
      <c r="G18" s="37"/>
    </row>
    <row r="19" spans="1:9" ht="15">
      <c r="A19" s="14"/>
      <c r="B19" s="42"/>
      <c r="C19" s="43"/>
      <c r="D19" s="43"/>
      <c r="E19" s="43"/>
      <c r="H19" s="37"/>
      <c r="I19" s="37" t="s">
        <v>0</v>
      </c>
    </row>
    <row r="20" spans="1:9" ht="46.8">
      <c r="A20" s="1" t="s">
        <v>1</v>
      </c>
      <c r="B20" s="1" t="s">
        <v>2</v>
      </c>
      <c r="C20" s="2" t="s">
        <v>3</v>
      </c>
      <c r="D20" s="2" t="s">
        <v>4</v>
      </c>
      <c r="E20" s="2" t="s">
        <v>5</v>
      </c>
      <c r="F20" s="2" t="s">
        <v>6</v>
      </c>
      <c r="G20" s="8" t="s">
        <v>14</v>
      </c>
      <c r="H20" s="8" t="s">
        <v>15</v>
      </c>
      <c r="I20" s="8" t="s">
        <v>440</v>
      </c>
    </row>
    <row r="21" spans="1:9" ht="15">
      <c r="A21" s="3"/>
      <c r="B21" s="2" t="s">
        <v>7</v>
      </c>
      <c r="C21" s="2" t="s">
        <v>8</v>
      </c>
      <c r="D21" s="2" t="s">
        <v>9</v>
      </c>
      <c r="E21" s="2" t="s">
        <v>10</v>
      </c>
      <c r="F21" s="2" t="s">
        <v>11</v>
      </c>
      <c r="G21" s="8" t="s">
        <v>12</v>
      </c>
      <c r="H21" s="45">
        <v>7</v>
      </c>
      <c r="I21" s="45">
        <v>8</v>
      </c>
    </row>
    <row r="22" spans="1:9" ht="31.2">
      <c r="A22" s="102">
        <v>1</v>
      </c>
      <c r="B22" s="260" t="s">
        <v>16</v>
      </c>
      <c r="C22" s="261" t="s">
        <v>17</v>
      </c>
      <c r="D22" s="261"/>
      <c r="E22" s="261"/>
      <c r="F22" s="261"/>
      <c r="G22" s="262">
        <f>G23+G48+G61+G158+G93+G152+G55+G134</f>
        <v>265530.77999999997</v>
      </c>
      <c r="H22" s="262">
        <f>H23+H48+H61+H158+H93+H152</f>
        <v>115555.88</v>
      </c>
      <c r="I22" s="262">
        <f>I23+I48+I61+I158+I93+I152</f>
        <v>117755.88</v>
      </c>
    </row>
    <row r="23" spans="1:9" ht="15">
      <c r="A23" s="102">
        <v>2</v>
      </c>
      <c r="B23" s="254" t="s">
        <v>56</v>
      </c>
      <c r="C23" s="38" t="s">
        <v>17</v>
      </c>
      <c r="D23" s="38" t="s">
        <v>59</v>
      </c>
      <c r="E23" s="38"/>
      <c r="F23" s="38"/>
      <c r="G23" s="168">
        <f>G24+G29+G39</f>
        <v>10873.439999999999</v>
      </c>
      <c r="H23" s="168">
        <f>H24+H29+H39</f>
        <v>13261.939999999999</v>
      </c>
      <c r="I23" s="168">
        <f>I24+I29+I39</f>
        <v>16261.939999999999</v>
      </c>
    </row>
    <row r="24" spans="1:9" ht="62.4">
      <c r="A24" s="222">
        <v>3</v>
      </c>
      <c r="B24" s="256" t="s">
        <v>27</v>
      </c>
      <c r="C24" s="38" t="s">
        <v>17</v>
      </c>
      <c r="D24" s="38" t="s">
        <v>388</v>
      </c>
      <c r="E24" s="38"/>
      <c r="F24" s="38"/>
      <c r="G24" s="168">
        <f>G25</f>
        <v>58.8</v>
      </c>
      <c r="H24" s="168">
        <f aca="true" t="shared" si="0" ref="H24:I24">H25</f>
        <v>58.8</v>
      </c>
      <c r="I24" s="168">
        <f t="shared" si="0"/>
        <v>58.8</v>
      </c>
    </row>
    <row r="25" spans="1:9" ht="31.2">
      <c r="A25" s="222">
        <v>4</v>
      </c>
      <c r="B25" s="253" t="s">
        <v>28</v>
      </c>
      <c r="C25" s="38" t="s">
        <v>17</v>
      </c>
      <c r="D25" s="38" t="s">
        <v>388</v>
      </c>
      <c r="E25" s="38">
        <v>9210000000</v>
      </c>
      <c r="F25" s="38"/>
      <c r="G25" s="168">
        <f>G26</f>
        <v>58.8</v>
      </c>
      <c r="H25" s="168">
        <f aca="true" t="shared" si="1" ref="H25:I25">H26</f>
        <v>58.8</v>
      </c>
      <c r="I25" s="168">
        <f t="shared" si="1"/>
        <v>58.8</v>
      </c>
    </row>
    <row r="26" spans="1:9" ht="62.4">
      <c r="A26" s="222">
        <v>5</v>
      </c>
      <c r="B26" s="253" t="s">
        <v>29</v>
      </c>
      <c r="C26" s="38" t="s">
        <v>17</v>
      </c>
      <c r="D26" s="38" t="s">
        <v>388</v>
      </c>
      <c r="E26" s="38">
        <v>9210075140</v>
      </c>
      <c r="F26" s="38"/>
      <c r="G26" s="168">
        <f>G27</f>
        <v>58.8</v>
      </c>
      <c r="H26" s="168">
        <f aca="true" t="shared" si="2" ref="H26:I26">H27</f>
        <v>58.8</v>
      </c>
      <c r="I26" s="168">
        <f t="shared" si="2"/>
        <v>58.8</v>
      </c>
    </row>
    <row r="27" spans="1:9" ht="15">
      <c r="A27" s="312">
        <v>6</v>
      </c>
      <c r="B27" s="256" t="s">
        <v>30</v>
      </c>
      <c r="C27" s="38" t="s">
        <v>17</v>
      </c>
      <c r="D27" s="38" t="s">
        <v>388</v>
      </c>
      <c r="E27" s="38">
        <v>9210075140</v>
      </c>
      <c r="F27" s="38">
        <v>500</v>
      </c>
      <c r="G27" s="168">
        <f>G28</f>
        <v>58.8</v>
      </c>
      <c r="H27" s="168">
        <f aca="true" t="shared" si="3" ref="H27:I27">H28</f>
        <v>58.8</v>
      </c>
      <c r="I27" s="168">
        <f t="shared" si="3"/>
        <v>58.8</v>
      </c>
    </row>
    <row r="28" spans="1:9" ht="15">
      <c r="A28" s="312">
        <v>7</v>
      </c>
      <c r="B28" s="256" t="s">
        <v>31</v>
      </c>
      <c r="C28" s="38" t="s">
        <v>17</v>
      </c>
      <c r="D28" s="38" t="s">
        <v>388</v>
      </c>
      <c r="E28" s="38">
        <v>9210075140</v>
      </c>
      <c r="F28" s="38">
        <v>530</v>
      </c>
      <c r="G28" s="168">
        <v>58.8</v>
      </c>
      <c r="H28" s="168">
        <v>58.8</v>
      </c>
      <c r="I28" s="168">
        <v>58.8</v>
      </c>
    </row>
    <row r="29" spans="1:9" ht="46.8">
      <c r="A29" s="312">
        <v>8</v>
      </c>
      <c r="B29" s="256" t="s">
        <v>18</v>
      </c>
      <c r="C29" s="38" t="s">
        <v>17</v>
      </c>
      <c r="D29" s="38" t="s">
        <v>19</v>
      </c>
      <c r="E29" s="38"/>
      <c r="F29" s="38"/>
      <c r="G29" s="168">
        <f>G30</f>
        <v>10275.63</v>
      </c>
      <c r="H29" s="168">
        <f aca="true" t="shared" si="4" ref="H29:I31">H30</f>
        <v>10203.14</v>
      </c>
      <c r="I29" s="168">
        <f t="shared" si="4"/>
        <v>10203.14</v>
      </c>
    </row>
    <row r="30" spans="1:9" ht="31.2">
      <c r="A30" s="312">
        <v>9</v>
      </c>
      <c r="B30" s="253" t="s">
        <v>20</v>
      </c>
      <c r="C30" s="38" t="s">
        <v>17</v>
      </c>
      <c r="D30" s="38" t="s">
        <v>19</v>
      </c>
      <c r="E30" s="38" t="s">
        <v>23</v>
      </c>
      <c r="F30" s="38"/>
      <c r="G30" s="168">
        <f>G31</f>
        <v>10275.63</v>
      </c>
      <c r="H30" s="168">
        <f t="shared" si="4"/>
        <v>10203.14</v>
      </c>
      <c r="I30" s="168">
        <f t="shared" si="4"/>
        <v>10203.14</v>
      </c>
    </row>
    <row r="31" spans="1:9" ht="31.2">
      <c r="A31" s="312">
        <v>10</v>
      </c>
      <c r="B31" s="253" t="s">
        <v>21</v>
      </c>
      <c r="C31" s="38" t="s">
        <v>17</v>
      </c>
      <c r="D31" s="38" t="s">
        <v>19</v>
      </c>
      <c r="E31" s="38" t="s">
        <v>22</v>
      </c>
      <c r="F31" s="38"/>
      <c r="G31" s="168">
        <f>G32</f>
        <v>10275.63</v>
      </c>
      <c r="H31" s="168">
        <f t="shared" si="4"/>
        <v>10203.14</v>
      </c>
      <c r="I31" s="168">
        <f t="shared" si="4"/>
        <v>10203.14</v>
      </c>
    </row>
    <row r="32" spans="1:9" ht="93.6">
      <c r="A32" s="312">
        <v>11</v>
      </c>
      <c r="B32" s="255" t="s">
        <v>324</v>
      </c>
      <c r="C32" s="38" t="s">
        <v>17</v>
      </c>
      <c r="D32" s="38" t="s">
        <v>19</v>
      </c>
      <c r="E32" s="38" t="s">
        <v>24</v>
      </c>
      <c r="F32" s="38"/>
      <c r="G32" s="168">
        <f>G33+G35+G37</f>
        <v>10275.63</v>
      </c>
      <c r="H32" s="168">
        <f aca="true" t="shared" si="5" ref="H32:I32">H33+H35+H37</f>
        <v>10203.14</v>
      </c>
      <c r="I32" s="168">
        <f t="shared" si="5"/>
        <v>10203.14</v>
      </c>
    </row>
    <row r="33" spans="1:9" ht="78">
      <c r="A33" s="312">
        <v>12</v>
      </c>
      <c r="B33" s="256" t="s">
        <v>25</v>
      </c>
      <c r="C33" s="38" t="s">
        <v>17</v>
      </c>
      <c r="D33" s="38" t="s">
        <v>19</v>
      </c>
      <c r="E33" s="38" t="s">
        <v>24</v>
      </c>
      <c r="F33" s="38">
        <v>100</v>
      </c>
      <c r="G33" s="168">
        <f>G34</f>
        <v>8567.289999999999</v>
      </c>
      <c r="H33" s="168">
        <f aca="true" t="shared" si="6" ref="H33:I33">H34</f>
        <v>8651.56</v>
      </c>
      <c r="I33" s="168">
        <f t="shared" si="6"/>
        <v>8651.56</v>
      </c>
    </row>
    <row r="34" spans="1:12" ht="31.2">
      <c r="A34" s="312">
        <v>13</v>
      </c>
      <c r="B34" s="304" t="s">
        <v>26</v>
      </c>
      <c r="C34" s="38" t="s">
        <v>17</v>
      </c>
      <c r="D34" s="38" t="s">
        <v>19</v>
      </c>
      <c r="E34" s="38" t="s">
        <v>24</v>
      </c>
      <c r="F34" s="38">
        <v>120</v>
      </c>
      <c r="G34" s="168">
        <f>8651.56+62.4+142.06+113.27-402</f>
        <v>8567.289999999999</v>
      </c>
      <c r="H34" s="168">
        <v>8651.56</v>
      </c>
      <c r="I34" s="168">
        <v>8651.56</v>
      </c>
      <c r="L34" s="272">
        <v>-402</v>
      </c>
    </row>
    <row r="35" spans="1:9" ht="31.2">
      <c r="A35" s="312">
        <v>14</v>
      </c>
      <c r="B35" s="256" t="s">
        <v>32</v>
      </c>
      <c r="C35" s="38" t="s">
        <v>17</v>
      </c>
      <c r="D35" s="38" t="s">
        <v>19</v>
      </c>
      <c r="E35" s="38" t="s">
        <v>24</v>
      </c>
      <c r="F35" s="38">
        <v>200</v>
      </c>
      <c r="G35" s="168">
        <f>G36</f>
        <v>1697.3</v>
      </c>
      <c r="H35" s="168">
        <f aca="true" t="shared" si="7" ref="H35:I35">H36</f>
        <v>1549.58</v>
      </c>
      <c r="I35" s="168">
        <f t="shared" si="7"/>
        <v>1549.58</v>
      </c>
    </row>
    <row r="36" spans="1:9" ht="46.8">
      <c r="A36" s="312">
        <v>15</v>
      </c>
      <c r="B36" s="256" t="s">
        <v>33</v>
      </c>
      <c r="C36" s="38" t="s">
        <v>17</v>
      </c>
      <c r="D36" s="38" t="s">
        <v>19</v>
      </c>
      <c r="E36" s="38" t="s">
        <v>24</v>
      </c>
      <c r="F36" s="38">
        <v>240</v>
      </c>
      <c r="G36" s="168">
        <f>1551.58-2+154.52-6.8</f>
        <v>1697.3</v>
      </c>
      <c r="H36" s="168">
        <f aca="true" t="shared" si="8" ref="H36:I36">1551.58-2</f>
        <v>1549.58</v>
      </c>
      <c r="I36" s="168">
        <f t="shared" si="8"/>
        <v>1549.58</v>
      </c>
    </row>
    <row r="37" spans="1:9" ht="15">
      <c r="A37" s="312">
        <v>16</v>
      </c>
      <c r="B37" s="255" t="s">
        <v>67</v>
      </c>
      <c r="C37" s="38" t="s">
        <v>17</v>
      </c>
      <c r="D37" s="38" t="s">
        <v>19</v>
      </c>
      <c r="E37" s="38" t="s">
        <v>24</v>
      </c>
      <c r="F37" s="38">
        <v>800</v>
      </c>
      <c r="G37" s="168">
        <f>G38</f>
        <v>11.04</v>
      </c>
      <c r="H37" s="168">
        <f aca="true" t="shared" si="9" ref="H37:I37">H38</f>
        <v>2</v>
      </c>
      <c r="I37" s="168">
        <f t="shared" si="9"/>
        <v>2</v>
      </c>
    </row>
    <row r="38" spans="1:9" ht="15">
      <c r="A38" s="312">
        <v>17</v>
      </c>
      <c r="B38" s="255" t="s">
        <v>221</v>
      </c>
      <c r="C38" s="38" t="s">
        <v>17</v>
      </c>
      <c r="D38" s="38" t="s">
        <v>19</v>
      </c>
      <c r="E38" s="38" t="s">
        <v>24</v>
      </c>
      <c r="F38" s="38">
        <v>850</v>
      </c>
      <c r="G38" s="168">
        <f>2+9.04</f>
        <v>11.04</v>
      </c>
      <c r="H38" s="168">
        <v>2</v>
      </c>
      <c r="I38" s="168">
        <v>2</v>
      </c>
    </row>
    <row r="39" spans="1:9" ht="15">
      <c r="A39" s="312">
        <v>18</v>
      </c>
      <c r="B39" s="256" t="s">
        <v>70</v>
      </c>
      <c r="C39" s="38" t="s">
        <v>17</v>
      </c>
      <c r="D39" s="38" t="s">
        <v>186</v>
      </c>
      <c r="E39" s="38"/>
      <c r="F39" s="38"/>
      <c r="G39" s="168">
        <f>G40</f>
        <v>539.0099999999998</v>
      </c>
      <c r="H39" s="168">
        <f aca="true" t="shared" si="10" ref="H39:I40">H40</f>
        <v>3000</v>
      </c>
      <c r="I39" s="168">
        <f t="shared" si="10"/>
        <v>6000</v>
      </c>
    </row>
    <row r="40" spans="1:9" ht="31.2">
      <c r="A40" s="312">
        <v>19</v>
      </c>
      <c r="B40" s="253" t="s">
        <v>270</v>
      </c>
      <c r="C40" s="38" t="s">
        <v>17</v>
      </c>
      <c r="D40" s="38" t="s">
        <v>186</v>
      </c>
      <c r="E40" s="38" t="s">
        <v>61</v>
      </c>
      <c r="F40" s="38"/>
      <c r="G40" s="168">
        <f>G41</f>
        <v>539.0099999999998</v>
      </c>
      <c r="H40" s="168">
        <f t="shared" si="10"/>
        <v>3000</v>
      </c>
      <c r="I40" s="168">
        <f t="shared" si="10"/>
        <v>6000</v>
      </c>
    </row>
    <row r="41" spans="1:9" ht="78">
      <c r="A41" s="312">
        <v>20</v>
      </c>
      <c r="B41" s="253" t="s">
        <v>470</v>
      </c>
      <c r="C41" s="38" t="s">
        <v>17</v>
      </c>
      <c r="D41" s="38" t="s">
        <v>186</v>
      </c>
      <c r="E41" s="38" t="s">
        <v>360</v>
      </c>
      <c r="F41" s="38"/>
      <c r="G41" s="168">
        <f>G42+G45</f>
        <v>539.0099999999998</v>
      </c>
      <c r="H41" s="168">
        <f aca="true" t="shared" si="11" ref="H41:I41">H42+H45</f>
        <v>3000</v>
      </c>
      <c r="I41" s="168">
        <f t="shared" si="11"/>
        <v>6000</v>
      </c>
    </row>
    <row r="42" spans="1:9" ht="93.6">
      <c r="A42" s="312">
        <v>21</v>
      </c>
      <c r="B42" s="254" t="s">
        <v>428</v>
      </c>
      <c r="C42" s="38" t="s">
        <v>17</v>
      </c>
      <c r="D42" s="38" t="s">
        <v>186</v>
      </c>
      <c r="E42" s="38" t="s">
        <v>362</v>
      </c>
      <c r="F42" s="38"/>
      <c r="G42" s="168">
        <f>G43</f>
        <v>294.52</v>
      </c>
      <c r="H42" s="168">
        <f aca="true" t="shared" si="12" ref="H42:I42">H43</f>
        <v>1000</v>
      </c>
      <c r="I42" s="168">
        <f t="shared" si="12"/>
        <v>2000</v>
      </c>
    </row>
    <row r="43" spans="1:9" ht="15">
      <c r="A43" s="312">
        <v>22</v>
      </c>
      <c r="B43" s="256" t="s">
        <v>30</v>
      </c>
      <c r="C43" s="38" t="s">
        <v>17</v>
      </c>
      <c r="D43" s="38" t="s">
        <v>186</v>
      </c>
      <c r="E43" s="38" t="s">
        <v>362</v>
      </c>
      <c r="F43" s="38">
        <v>500</v>
      </c>
      <c r="G43" s="168">
        <f>G44</f>
        <v>294.52</v>
      </c>
      <c r="H43" s="168">
        <f aca="true" t="shared" si="13" ref="H43:I43">H44</f>
        <v>1000</v>
      </c>
      <c r="I43" s="168">
        <f t="shared" si="13"/>
        <v>2000</v>
      </c>
    </row>
    <row r="44" spans="1:11" ht="15">
      <c r="A44" s="312">
        <v>23</v>
      </c>
      <c r="B44" s="256" t="s">
        <v>42</v>
      </c>
      <c r="C44" s="38" t="s">
        <v>17</v>
      </c>
      <c r="D44" s="38" t="s">
        <v>186</v>
      </c>
      <c r="E44" s="38" t="s">
        <v>362</v>
      </c>
      <c r="F44" s="38">
        <v>540</v>
      </c>
      <c r="G44" s="168">
        <f>2000-1705.48</f>
        <v>294.52</v>
      </c>
      <c r="H44" s="168">
        <f>2000-1000</f>
        <v>1000</v>
      </c>
      <c r="I44" s="168">
        <v>2000</v>
      </c>
      <c r="K44" s="234"/>
    </row>
    <row r="45" spans="1:9" ht="124.8">
      <c r="A45" s="312">
        <v>24</v>
      </c>
      <c r="B45" s="302" t="s">
        <v>429</v>
      </c>
      <c r="C45" s="38" t="s">
        <v>17</v>
      </c>
      <c r="D45" s="38" t="s">
        <v>186</v>
      </c>
      <c r="E45" s="38" t="s">
        <v>363</v>
      </c>
      <c r="F45" s="38"/>
      <c r="G45" s="168">
        <f>G46</f>
        <v>244.48999999999978</v>
      </c>
      <c r="H45" s="168">
        <f aca="true" t="shared" si="14" ref="H45:I46">H46</f>
        <v>2000</v>
      </c>
      <c r="I45" s="168">
        <f t="shared" si="14"/>
        <v>4000</v>
      </c>
    </row>
    <row r="46" spans="1:9" ht="15">
      <c r="A46" s="312">
        <v>25</v>
      </c>
      <c r="B46" s="256" t="s">
        <v>30</v>
      </c>
      <c r="C46" s="38" t="s">
        <v>17</v>
      </c>
      <c r="D46" s="38" t="s">
        <v>186</v>
      </c>
      <c r="E46" s="38" t="s">
        <v>363</v>
      </c>
      <c r="F46" s="38">
        <v>500</v>
      </c>
      <c r="G46" s="168">
        <f>G47</f>
        <v>244.48999999999978</v>
      </c>
      <c r="H46" s="168">
        <f t="shared" si="14"/>
        <v>2000</v>
      </c>
      <c r="I46" s="168">
        <f t="shared" si="14"/>
        <v>4000</v>
      </c>
    </row>
    <row r="47" spans="1:12" ht="15">
      <c r="A47" s="312">
        <v>26</v>
      </c>
      <c r="B47" s="256" t="s">
        <v>42</v>
      </c>
      <c r="C47" s="38" t="s">
        <v>17</v>
      </c>
      <c r="D47" s="38" t="s">
        <v>186</v>
      </c>
      <c r="E47" s="38" t="s">
        <v>363</v>
      </c>
      <c r="F47" s="38">
        <v>540</v>
      </c>
      <c r="G47" s="168">
        <f>4000-3659.76-95.75</f>
        <v>244.48999999999978</v>
      </c>
      <c r="H47" s="168">
        <f>4000-2000</f>
        <v>2000</v>
      </c>
      <c r="I47" s="168">
        <v>4000</v>
      </c>
      <c r="K47" s="234"/>
      <c r="L47" s="272">
        <v>-95.75</v>
      </c>
    </row>
    <row r="48" spans="1:9" ht="15">
      <c r="A48" s="312">
        <v>27</v>
      </c>
      <c r="B48" s="255" t="s">
        <v>34</v>
      </c>
      <c r="C48" s="38" t="s">
        <v>17</v>
      </c>
      <c r="D48" s="38" t="s">
        <v>389</v>
      </c>
      <c r="E48" s="38"/>
      <c r="F48" s="38"/>
      <c r="G48" s="168">
        <f>G49</f>
        <v>1451</v>
      </c>
      <c r="H48" s="168">
        <f aca="true" t="shared" si="15" ref="H48:I48">H49</f>
        <v>0</v>
      </c>
      <c r="I48" s="168">
        <f t="shared" si="15"/>
        <v>0</v>
      </c>
    </row>
    <row r="49" spans="1:9" ht="15">
      <c r="A49" s="312">
        <v>28</v>
      </c>
      <c r="B49" s="256" t="s">
        <v>35</v>
      </c>
      <c r="C49" s="38" t="s">
        <v>17</v>
      </c>
      <c r="D49" s="38" t="s">
        <v>390</v>
      </c>
      <c r="E49" s="38"/>
      <c r="F49" s="38"/>
      <c r="G49" s="168">
        <f>G51</f>
        <v>1451</v>
      </c>
      <c r="H49" s="168">
        <f aca="true" t="shared" si="16" ref="H49:I49">H51</f>
        <v>0</v>
      </c>
      <c r="I49" s="168">
        <f t="shared" si="16"/>
        <v>0</v>
      </c>
    </row>
    <row r="50" spans="1:9" ht="31.2">
      <c r="A50" s="312">
        <v>29</v>
      </c>
      <c r="B50" s="256" t="s">
        <v>36</v>
      </c>
      <c r="C50" s="38" t="s">
        <v>17</v>
      </c>
      <c r="D50" s="38" t="s">
        <v>390</v>
      </c>
      <c r="E50" s="38">
        <v>9170000000</v>
      </c>
      <c r="F50" s="38"/>
      <c r="G50" s="168">
        <f>G51</f>
        <v>1451</v>
      </c>
      <c r="H50" s="168">
        <f aca="true" t="shared" si="17" ref="H50:I52">H51</f>
        <v>0</v>
      </c>
      <c r="I50" s="168">
        <f t="shared" si="17"/>
        <v>0</v>
      </c>
    </row>
    <row r="51" spans="1:9" ht="78">
      <c r="A51" s="312">
        <v>30</v>
      </c>
      <c r="B51" s="256" t="s">
        <v>37</v>
      </c>
      <c r="C51" s="38" t="s">
        <v>17</v>
      </c>
      <c r="D51" s="38" t="s">
        <v>390</v>
      </c>
      <c r="E51" s="38">
        <v>9170051180</v>
      </c>
      <c r="F51" s="38"/>
      <c r="G51" s="168">
        <f>G52</f>
        <v>1451</v>
      </c>
      <c r="H51" s="168">
        <f t="shared" si="17"/>
        <v>0</v>
      </c>
      <c r="I51" s="168">
        <f t="shared" si="17"/>
        <v>0</v>
      </c>
    </row>
    <row r="52" spans="1:9" ht="15">
      <c r="A52" s="312">
        <v>31</v>
      </c>
      <c r="B52" s="256" t="s">
        <v>30</v>
      </c>
      <c r="C52" s="38" t="s">
        <v>17</v>
      </c>
      <c r="D52" s="38" t="s">
        <v>390</v>
      </c>
      <c r="E52" s="38">
        <v>9170051180</v>
      </c>
      <c r="F52" s="38">
        <v>500</v>
      </c>
      <c r="G52" s="168">
        <f>G53</f>
        <v>1451</v>
      </c>
      <c r="H52" s="168">
        <f t="shared" si="17"/>
        <v>0</v>
      </c>
      <c r="I52" s="168">
        <f t="shared" si="17"/>
        <v>0</v>
      </c>
    </row>
    <row r="53" spans="1:9" ht="15">
      <c r="A53" s="312">
        <v>32</v>
      </c>
      <c r="B53" s="256" t="s">
        <v>31</v>
      </c>
      <c r="C53" s="38" t="s">
        <v>17</v>
      </c>
      <c r="D53" s="38" t="s">
        <v>390</v>
      </c>
      <c r="E53" s="38">
        <v>9170051180</v>
      </c>
      <c r="F53" s="38">
        <v>530</v>
      </c>
      <c r="G53" s="168">
        <f>1366.9+84.1</f>
        <v>1451</v>
      </c>
      <c r="H53" s="168">
        <v>0</v>
      </c>
      <c r="I53" s="168">
        <v>0</v>
      </c>
    </row>
    <row r="54" spans="1:9" ht="31.2">
      <c r="A54" s="312">
        <v>33</v>
      </c>
      <c r="B54" s="255" t="s">
        <v>176</v>
      </c>
      <c r="C54" s="38" t="s">
        <v>17</v>
      </c>
      <c r="D54" s="38" t="s">
        <v>412</v>
      </c>
      <c r="E54" s="38"/>
      <c r="F54" s="38"/>
      <c r="G54" s="168">
        <f aca="true" t="shared" si="18" ref="G54:I59">G55</f>
        <v>392.5</v>
      </c>
      <c r="H54" s="168">
        <f t="shared" si="18"/>
        <v>0</v>
      </c>
      <c r="I54" s="168">
        <f t="shared" si="18"/>
        <v>0</v>
      </c>
    </row>
    <row r="55" spans="1:9" ht="15">
      <c r="A55" s="312">
        <v>34</v>
      </c>
      <c r="B55" s="255" t="s">
        <v>521</v>
      </c>
      <c r="C55" s="38" t="s">
        <v>17</v>
      </c>
      <c r="D55" s="38" t="s">
        <v>522</v>
      </c>
      <c r="E55" s="38"/>
      <c r="F55" s="38"/>
      <c r="G55" s="168">
        <f t="shared" si="18"/>
        <v>392.5</v>
      </c>
      <c r="H55" s="168">
        <f t="shared" si="18"/>
        <v>0</v>
      </c>
      <c r="I55" s="168">
        <f t="shared" si="18"/>
        <v>0</v>
      </c>
    </row>
    <row r="56" spans="1:9" ht="46.8">
      <c r="A56" s="312">
        <v>35</v>
      </c>
      <c r="B56" s="257" t="s">
        <v>277</v>
      </c>
      <c r="C56" s="38" t="s">
        <v>17</v>
      </c>
      <c r="D56" s="38" t="s">
        <v>522</v>
      </c>
      <c r="E56" s="174" t="s">
        <v>523</v>
      </c>
      <c r="F56" s="38"/>
      <c r="G56" s="168">
        <f t="shared" si="18"/>
        <v>392.5</v>
      </c>
      <c r="H56" s="168">
        <f t="shared" si="18"/>
        <v>0</v>
      </c>
      <c r="I56" s="168">
        <f t="shared" si="18"/>
        <v>0</v>
      </c>
    </row>
    <row r="57" spans="1:9" ht="31.2">
      <c r="A57" s="312">
        <v>36</v>
      </c>
      <c r="B57" s="257" t="s">
        <v>524</v>
      </c>
      <c r="C57" s="38" t="s">
        <v>17</v>
      </c>
      <c r="D57" s="38" t="s">
        <v>522</v>
      </c>
      <c r="E57" s="174" t="s">
        <v>525</v>
      </c>
      <c r="F57" s="38"/>
      <c r="G57" s="168">
        <f t="shared" si="18"/>
        <v>392.5</v>
      </c>
      <c r="H57" s="168">
        <f t="shared" si="18"/>
        <v>0</v>
      </c>
      <c r="I57" s="168">
        <f t="shared" si="18"/>
        <v>0</v>
      </c>
    </row>
    <row r="58" spans="1:9" ht="124.8">
      <c r="A58" s="312">
        <v>37</v>
      </c>
      <c r="B58" s="256" t="s">
        <v>526</v>
      </c>
      <c r="C58" s="38" t="s">
        <v>17</v>
      </c>
      <c r="D58" s="38" t="s">
        <v>522</v>
      </c>
      <c r="E58" s="174" t="s">
        <v>527</v>
      </c>
      <c r="F58" s="38"/>
      <c r="G58" s="168">
        <f t="shared" si="18"/>
        <v>392.5</v>
      </c>
      <c r="H58" s="168">
        <f t="shared" si="18"/>
        <v>0</v>
      </c>
      <c r="I58" s="168">
        <f t="shared" si="18"/>
        <v>0</v>
      </c>
    </row>
    <row r="59" spans="1:9" ht="15">
      <c r="A59" s="312">
        <v>38</v>
      </c>
      <c r="B59" s="256" t="s">
        <v>30</v>
      </c>
      <c r="C59" s="38" t="s">
        <v>17</v>
      </c>
      <c r="D59" s="38" t="s">
        <v>522</v>
      </c>
      <c r="E59" s="174" t="s">
        <v>527</v>
      </c>
      <c r="F59" s="38">
        <v>500</v>
      </c>
      <c r="G59" s="168">
        <f t="shared" si="18"/>
        <v>392.5</v>
      </c>
      <c r="H59" s="168">
        <f t="shared" si="18"/>
        <v>0</v>
      </c>
      <c r="I59" s="168">
        <f t="shared" si="18"/>
        <v>0</v>
      </c>
    </row>
    <row r="60" spans="1:9" ht="15">
      <c r="A60" s="312">
        <v>39</v>
      </c>
      <c r="B60" s="256" t="s">
        <v>42</v>
      </c>
      <c r="C60" s="38" t="s">
        <v>17</v>
      </c>
      <c r="D60" s="38" t="s">
        <v>522</v>
      </c>
      <c r="E60" s="174" t="s">
        <v>527</v>
      </c>
      <c r="F60" s="38">
        <v>540</v>
      </c>
      <c r="G60" s="168">
        <v>392.5</v>
      </c>
      <c r="H60" s="168">
        <v>0</v>
      </c>
      <c r="I60" s="168">
        <v>0</v>
      </c>
    </row>
    <row r="61" spans="1:9" ht="15">
      <c r="A61" s="312">
        <v>40</v>
      </c>
      <c r="B61" s="263" t="s">
        <v>38</v>
      </c>
      <c r="C61" s="38" t="s">
        <v>17</v>
      </c>
      <c r="D61" s="38" t="s">
        <v>391</v>
      </c>
      <c r="E61" s="38"/>
      <c r="F61" s="38"/>
      <c r="G61" s="168">
        <f>G62+G71+G87</f>
        <v>28280.93</v>
      </c>
      <c r="H61" s="168">
        <f aca="true" t="shared" si="19" ref="H61:I61">H63</f>
        <v>0</v>
      </c>
      <c r="I61" s="168">
        <f t="shared" si="19"/>
        <v>0</v>
      </c>
    </row>
    <row r="62" spans="1:9" ht="15">
      <c r="A62" s="312">
        <v>41</v>
      </c>
      <c r="B62" s="40" t="s">
        <v>39</v>
      </c>
      <c r="C62" s="48" t="s">
        <v>17</v>
      </c>
      <c r="D62" s="48" t="s">
        <v>392</v>
      </c>
      <c r="E62" s="48"/>
      <c r="F62" s="38"/>
      <c r="G62" s="168">
        <f>G63</f>
        <v>500</v>
      </c>
      <c r="H62" s="168">
        <f aca="true" t="shared" si="20" ref="H62:I63">H63</f>
        <v>0</v>
      </c>
      <c r="I62" s="168">
        <f t="shared" si="20"/>
        <v>0</v>
      </c>
    </row>
    <row r="63" spans="1:9" ht="31.2">
      <c r="A63" s="312">
        <v>42</v>
      </c>
      <c r="B63" s="257" t="s">
        <v>40</v>
      </c>
      <c r="C63" s="48" t="s">
        <v>17</v>
      </c>
      <c r="D63" s="48" t="s">
        <v>392</v>
      </c>
      <c r="E63" s="38">
        <v>1300000000</v>
      </c>
      <c r="F63" s="38"/>
      <c r="G63" s="168">
        <f>G64</f>
        <v>500</v>
      </c>
      <c r="H63" s="168">
        <f t="shared" si="20"/>
        <v>0</v>
      </c>
      <c r="I63" s="168">
        <f t="shared" si="20"/>
        <v>0</v>
      </c>
    </row>
    <row r="64" spans="1:9" ht="15">
      <c r="A64" s="312">
        <v>43</v>
      </c>
      <c r="B64" s="257" t="s">
        <v>80</v>
      </c>
      <c r="C64" s="48" t="s">
        <v>17</v>
      </c>
      <c r="D64" s="48" t="s">
        <v>392</v>
      </c>
      <c r="E64" s="38">
        <v>1390000000</v>
      </c>
      <c r="F64" s="38"/>
      <c r="G64" s="168">
        <f>G65+G68</f>
        <v>500</v>
      </c>
      <c r="H64" s="168">
        <f aca="true" t="shared" si="21" ref="H64:I64">H65+H68</f>
        <v>0</v>
      </c>
      <c r="I64" s="168">
        <f t="shared" si="21"/>
        <v>0</v>
      </c>
    </row>
    <row r="65" spans="1:9" ht="46.8">
      <c r="A65" s="312">
        <v>44</v>
      </c>
      <c r="B65" s="257" t="s">
        <v>41</v>
      </c>
      <c r="C65" s="48" t="s">
        <v>17</v>
      </c>
      <c r="D65" s="48" t="s">
        <v>392</v>
      </c>
      <c r="E65" s="38">
        <v>1390084010</v>
      </c>
      <c r="F65" s="38"/>
      <c r="G65" s="168">
        <f>G66</f>
        <v>200</v>
      </c>
      <c r="H65" s="168">
        <f aca="true" t="shared" si="22" ref="H65:I65">H66</f>
        <v>0</v>
      </c>
      <c r="I65" s="168">
        <f t="shared" si="22"/>
        <v>0</v>
      </c>
    </row>
    <row r="66" spans="1:9" ht="15">
      <c r="A66" s="312">
        <v>45</v>
      </c>
      <c r="B66" s="256" t="s">
        <v>30</v>
      </c>
      <c r="C66" s="48" t="s">
        <v>17</v>
      </c>
      <c r="D66" s="48" t="s">
        <v>392</v>
      </c>
      <c r="E66" s="38">
        <v>1390084010</v>
      </c>
      <c r="F66" s="38">
        <v>500</v>
      </c>
      <c r="G66" s="168">
        <f>G67</f>
        <v>200</v>
      </c>
      <c r="H66" s="168">
        <f aca="true" t="shared" si="23" ref="H66:I66">H67</f>
        <v>0</v>
      </c>
      <c r="I66" s="168">
        <f t="shared" si="23"/>
        <v>0</v>
      </c>
    </row>
    <row r="67" spans="1:9" ht="15">
      <c r="A67" s="312">
        <v>46</v>
      </c>
      <c r="B67" s="256" t="s">
        <v>42</v>
      </c>
      <c r="C67" s="48" t="s">
        <v>17</v>
      </c>
      <c r="D67" s="48" t="s">
        <v>392</v>
      </c>
      <c r="E67" s="38">
        <v>1390084010</v>
      </c>
      <c r="F67" s="38">
        <v>540</v>
      </c>
      <c r="G67" s="168">
        <v>200</v>
      </c>
      <c r="H67" s="168">
        <v>0</v>
      </c>
      <c r="I67" s="168">
        <v>0</v>
      </c>
    </row>
    <row r="68" spans="1:9" ht="15">
      <c r="A68" s="312">
        <v>47</v>
      </c>
      <c r="B68" s="40" t="s">
        <v>43</v>
      </c>
      <c r="C68" s="48" t="s">
        <v>17</v>
      </c>
      <c r="D68" s="48" t="s">
        <v>392</v>
      </c>
      <c r="E68" s="38">
        <v>1390084020</v>
      </c>
      <c r="F68" s="38"/>
      <c r="G68" s="168">
        <f>G69</f>
        <v>300</v>
      </c>
      <c r="H68" s="168">
        <f aca="true" t="shared" si="24" ref="H68:I69">H69</f>
        <v>0</v>
      </c>
      <c r="I68" s="168">
        <f t="shared" si="24"/>
        <v>0</v>
      </c>
    </row>
    <row r="69" spans="1:9" ht="15">
      <c r="A69" s="312">
        <v>48</v>
      </c>
      <c r="B69" s="256" t="s">
        <v>30</v>
      </c>
      <c r="C69" s="48" t="s">
        <v>17</v>
      </c>
      <c r="D69" s="48" t="s">
        <v>392</v>
      </c>
      <c r="E69" s="38">
        <v>1390084020</v>
      </c>
      <c r="F69" s="38">
        <v>500</v>
      </c>
      <c r="G69" s="168">
        <f>G70</f>
        <v>300</v>
      </c>
      <c r="H69" s="168">
        <f t="shared" si="24"/>
        <v>0</v>
      </c>
      <c r="I69" s="168">
        <f t="shared" si="24"/>
        <v>0</v>
      </c>
    </row>
    <row r="70" spans="1:9" ht="15">
      <c r="A70" s="312">
        <v>49</v>
      </c>
      <c r="B70" s="256" t="s">
        <v>42</v>
      </c>
      <c r="C70" s="48" t="s">
        <v>17</v>
      </c>
      <c r="D70" s="48" t="s">
        <v>392</v>
      </c>
      <c r="E70" s="38">
        <v>1390084020</v>
      </c>
      <c r="F70" s="38">
        <v>540</v>
      </c>
      <c r="G70" s="168">
        <v>300</v>
      </c>
      <c r="H70" s="168">
        <v>0</v>
      </c>
      <c r="I70" s="168">
        <v>0</v>
      </c>
    </row>
    <row r="71" spans="1:9" ht="15">
      <c r="A71" s="312">
        <v>50</v>
      </c>
      <c r="B71" s="253" t="s">
        <v>91</v>
      </c>
      <c r="C71" s="38" t="s">
        <v>17</v>
      </c>
      <c r="D71" s="38" t="s">
        <v>403</v>
      </c>
      <c r="E71" s="38"/>
      <c r="F71" s="38"/>
      <c r="G71" s="168">
        <f>G72</f>
        <v>27668.2</v>
      </c>
      <c r="H71" s="168">
        <f aca="true" t="shared" si="25" ref="H71:I71">H72</f>
        <v>0</v>
      </c>
      <c r="I71" s="168">
        <f t="shared" si="25"/>
        <v>0</v>
      </c>
    </row>
    <row r="72" spans="1:9" ht="31.2">
      <c r="A72" s="312">
        <v>51</v>
      </c>
      <c r="B72" s="257" t="s">
        <v>87</v>
      </c>
      <c r="C72" s="38" t="s">
        <v>17</v>
      </c>
      <c r="D72" s="38" t="s">
        <v>403</v>
      </c>
      <c r="E72" s="38">
        <v>1100000000</v>
      </c>
      <c r="F72" s="38"/>
      <c r="G72" s="168">
        <f>G73+G77</f>
        <v>27668.2</v>
      </c>
      <c r="H72" s="168">
        <f aca="true" t="shared" si="26" ref="H72:I72">H73+H77</f>
        <v>0</v>
      </c>
      <c r="I72" s="168">
        <f t="shared" si="26"/>
        <v>0</v>
      </c>
    </row>
    <row r="73" spans="1:9" ht="31.2">
      <c r="A73" s="312">
        <v>52</v>
      </c>
      <c r="B73" s="257" t="s">
        <v>283</v>
      </c>
      <c r="C73" s="48" t="s">
        <v>528</v>
      </c>
      <c r="D73" s="48" t="s">
        <v>529</v>
      </c>
      <c r="E73" s="38">
        <v>1120000000</v>
      </c>
      <c r="F73" s="38"/>
      <c r="G73" s="168">
        <f>G74</f>
        <v>268</v>
      </c>
      <c r="H73" s="168">
        <f aca="true" t="shared" si="27" ref="H73:I75">H74</f>
        <v>0</v>
      </c>
      <c r="I73" s="168">
        <f t="shared" si="27"/>
        <v>0</v>
      </c>
    </row>
    <row r="74" spans="1:9" ht="62.4">
      <c r="A74" s="312">
        <v>53</v>
      </c>
      <c r="B74" s="257" t="s">
        <v>530</v>
      </c>
      <c r="C74" s="48" t="s">
        <v>528</v>
      </c>
      <c r="D74" s="48" t="s">
        <v>529</v>
      </c>
      <c r="E74" s="38">
        <v>1120074920</v>
      </c>
      <c r="F74" s="38"/>
      <c r="G74" s="168">
        <f>G75</f>
        <v>268</v>
      </c>
      <c r="H74" s="168">
        <f t="shared" si="27"/>
        <v>0</v>
      </c>
      <c r="I74" s="168">
        <f t="shared" si="27"/>
        <v>0</v>
      </c>
    </row>
    <row r="75" spans="1:9" ht="15">
      <c r="A75" s="312">
        <v>54</v>
      </c>
      <c r="B75" s="256" t="s">
        <v>30</v>
      </c>
      <c r="C75" s="48" t="s">
        <v>528</v>
      </c>
      <c r="D75" s="48" t="s">
        <v>529</v>
      </c>
      <c r="E75" s="38">
        <v>1120074920</v>
      </c>
      <c r="F75" s="38">
        <v>500</v>
      </c>
      <c r="G75" s="168">
        <f>G76</f>
        <v>268</v>
      </c>
      <c r="H75" s="168">
        <f t="shared" si="27"/>
        <v>0</v>
      </c>
      <c r="I75" s="168">
        <f t="shared" si="27"/>
        <v>0</v>
      </c>
    </row>
    <row r="76" spans="1:9" ht="15">
      <c r="A76" s="312">
        <v>55</v>
      </c>
      <c r="B76" s="256" t="s">
        <v>42</v>
      </c>
      <c r="C76" s="48" t="s">
        <v>528</v>
      </c>
      <c r="D76" s="48" t="s">
        <v>529</v>
      </c>
      <c r="E76" s="38">
        <v>1120074920</v>
      </c>
      <c r="F76" s="38">
        <v>540</v>
      </c>
      <c r="G76" s="168">
        <v>268</v>
      </c>
      <c r="H76" s="168">
        <v>0</v>
      </c>
      <c r="I76" s="168">
        <v>0</v>
      </c>
    </row>
    <row r="77" spans="1:9" ht="46.8">
      <c r="A77" s="312">
        <v>56</v>
      </c>
      <c r="B77" s="256" t="s">
        <v>284</v>
      </c>
      <c r="C77" s="48" t="s">
        <v>528</v>
      </c>
      <c r="D77" s="48" t="s">
        <v>529</v>
      </c>
      <c r="E77" s="38">
        <v>1130000000</v>
      </c>
      <c r="F77" s="38"/>
      <c r="G77" s="168">
        <f>G78+G81+G84</f>
        <v>27400.2</v>
      </c>
      <c r="H77" s="168">
        <f aca="true" t="shared" si="28" ref="H77:I77">H78+H81</f>
        <v>0</v>
      </c>
      <c r="I77" s="168">
        <f t="shared" si="28"/>
        <v>0</v>
      </c>
    </row>
    <row r="78" spans="1:9" ht="93.6">
      <c r="A78" s="312">
        <v>57</v>
      </c>
      <c r="B78" s="257" t="s">
        <v>531</v>
      </c>
      <c r="C78" s="48" t="s">
        <v>528</v>
      </c>
      <c r="D78" s="48" t="s">
        <v>529</v>
      </c>
      <c r="E78" s="38">
        <v>1130075080</v>
      </c>
      <c r="F78" s="38"/>
      <c r="G78" s="168">
        <f>G79</f>
        <v>5064.9</v>
      </c>
      <c r="H78" s="168">
        <f aca="true" t="shared" si="29" ref="H78:I79">H79</f>
        <v>0</v>
      </c>
      <c r="I78" s="168">
        <f t="shared" si="29"/>
        <v>0</v>
      </c>
    </row>
    <row r="79" spans="1:9" ht="15">
      <c r="A79" s="312">
        <v>58</v>
      </c>
      <c r="B79" s="256" t="s">
        <v>30</v>
      </c>
      <c r="C79" s="48" t="s">
        <v>528</v>
      </c>
      <c r="D79" s="48" t="s">
        <v>529</v>
      </c>
      <c r="E79" s="38">
        <v>1130075080</v>
      </c>
      <c r="F79" s="38">
        <v>500</v>
      </c>
      <c r="G79" s="168">
        <f>G80</f>
        <v>5064.9</v>
      </c>
      <c r="H79" s="168">
        <f t="shared" si="29"/>
        <v>0</v>
      </c>
      <c r="I79" s="168">
        <f t="shared" si="29"/>
        <v>0</v>
      </c>
    </row>
    <row r="80" spans="1:10" ht="15">
      <c r="A80" s="312">
        <v>59</v>
      </c>
      <c r="B80" s="256" t="s">
        <v>42</v>
      </c>
      <c r="C80" s="48" t="s">
        <v>528</v>
      </c>
      <c r="D80" s="48" t="s">
        <v>529</v>
      </c>
      <c r="E80" s="38">
        <v>1130075080</v>
      </c>
      <c r="F80" s="38">
        <v>540</v>
      </c>
      <c r="G80" s="168">
        <f>2969.5+2095.4</f>
        <v>5064.9</v>
      </c>
      <c r="H80" s="168">
        <v>0</v>
      </c>
      <c r="I80" s="168">
        <v>0</v>
      </c>
      <c r="J80" s="235"/>
    </row>
    <row r="81" spans="1:9" ht="78">
      <c r="A81" s="312">
        <v>60</v>
      </c>
      <c r="B81" s="255" t="s">
        <v>532</v>
      </c>
      <c r="C81" s="48" t="s">
        <v>528</v>
      </c>
      <c r="D81" s="48" t="s">
        <v>529</v>
      </c>
      <c r="E81" s="38">
        <v>1130075090</v>
      </c>
      <c r="F81" s="38"/>
      <c r="G81" s="168">
        <f>G82</f>
        <v>18242.5</v>
      </c>
      <c r="H81" s="168">
        <f aca="true" t="shared" si="30" ref="H81:I82">H82</f>
        <v>0</v>
      </c>
      <c r="I81" s="168">
        <f t="shared" si="30"/>
        <v>0</v>
      </c>
    </row>
    <row r="82" spans="1:9" ht="15">
      <c r="A82" s="312">
        <v>61</v>
      </c>
      <c r="B82" s="256" t="s">
        <v>30</v>
      </c>
      <c r="C82" s="48" t="s">
        <v>528</v>
      </c>
      <c r="D82" s="48" t="s">
        <v>529</v>
      </c>
      <c r="E82" s="38">
        <v>1130075090</v>
      </c>
      <c r="F82" s="38">
        <v>500</v>
      </c>
      <c r="G82" s="168">
        <f>G83</f>
        <v>18242.5</v>
      </c>
      <c r="H82" s="168">
        <f t="shared" si="30"/>
        <v>0</v>
      </c>
      <c r="I82" s="168">
        <f t="shared" si="30"/>
        <v>0</v>
      </c>
    </row>
    <row r="83" spans="1:10" ht="15">
      <c r="A83" s="312">
        <v>62</v>
      </c>
      <c r="B83" s="256" t="s">
        <v>42</v>
      </c>
      <c r="C83" s="48" t="s">
        <v>528</v>
      </c>
      <c r="D83" s="48" t="s">
        <v>529</v>
      </c>
      <c r="E83" s="38">
        <v>1130075090</v>
      </c>
      <c r="F83" s="38">
        <v>540</v>
      </c>
      <c r="G83" s="168">
        <f>17481.2+761.3</f>
        <v>18242.5</v>
      </c>
      <c r="H83" s="168">
        <v>0</v>
      </c>
      <c r="I83" s="168">
        <v>0</v>
      </c>
      <c r="J83" s="235"/>
    </row>
    <row r="84" spans="1:10" ht="109.2">
      <c r="A84" s="312">
        <v>63</v>
      </c>
      <c r="B84" s="256" t="s">
        <v>572</v>
      </c>
      <c r="C84" s="48" t="s">
        <v>528</v>
      </c>
      <c r="D84" s="48" t="s">
        <v>529</v>
      </c>
      <c r="E84" s="38">
        <v>1130076430</v>
      </c>
      <c r="F84" s="38"/>
      <c r="G84" s="168">
        <f>G85</f>
        <v>4092.8</v>
      </c>
      <c r="H84" s="168">
        <f aca="true" t="shared" si="31" ref="H84:I85">H85</f>
        <v>0</v>
      </c>
      <c r="I84" s="168">
        <f t="shared" si="31"/>
        <v>0</v>
      </c>
      <c r="J84" s="235"/>
    </row>
    <row r="85" spans="1:10" ht="15">
      <c r="A85" s="312">
        <v>64</v>
      </c>
      <c r="B85" s="256" t="s">
        <v>30</v>
      </c>
      <c r="C85" s="48" t="s">
        <v>528</v>
      </c>
      <c r="D85" s="48" t="s">
        <v>529</v>
      </c>
      <c r="E85" s="38">
        <v>1130076430</v>
      </c>
      <c r="F85" s="38">
        <v>500</v>
      </c>
      <c r="G85" s="168">
        <f>G86</f>
        <v>4092.8</v>
      </c>
      <c r="H85" s="168">
        <f t="shared" si="31"/>
        <v>0</v>
      </c>
      <c r="I85" s="168">
        <f t="shared" si="31"/>
        <v>0</v>
      </c>
      <c r="J85" s="235"/>
    </row>
    <row r="86" spans="1:10" ht="15">
      <c r="A86" s="312">
        <v>65</v>
      </c>
      <c r="B86" s="256" t="s">
        <v>42</v>
      </c>
      <c r="C86" s="48" t="s">
        <v>528</v>
      </c>
      <c r="D86" s="48" t="s">
        <v>529</v>
      </c>
      <c r="E86" s="38">
        <v>1130076430</v>
      </c>
      <c r="F86" s="38">
        <v>540</v>
      </c>
      <c r="G86" s="168">
        <v>4092.8</v>
      </c>
      <c r="H86" s="168">
        <v>0</v>
      </c>
      <c r="I86" s="168">
        <v>0</v>
      </c>
      <c r="J86" s="235"/>
    </row>
    <row r="87" spans="1:10" ht="15">
      <c r="A87" s="312">
        <v>66</v>
      </c>
      <c r="B87" s="279" t="s">
        <v>557</v>
      </c>
      <c r="C87" s="48" t="s">
        <v>528</v>
      </c>
      <c r="D87" s="38" t="s">
        <v>558</v>
      </c>
      <c r="E87" s="38"/>
      <c r="F87" s="38"/>
      <c r="G87" s="168">
        <f>G88</f>
        <v>112.73</v>
      </c>
      <c r="H87" s="168">
        <f aca="true" t="shared" si="32" ref="H87:I87">H88</f>
        <v>0</v>
      </c>
      <c r="I87" s="168">
        <f t="shared" si="32"/>
        <v>0</v>
      </c>
      <c r="J87" s="235"/>
    </row>
    <row r="88" spans="1:10" ht="31.2">
      <c r="A88" s="312">
        <v>67</v>
      </c>
      <c r="B88" s="280" t="s">
        <v>87</v>
      </c>
      <c r="C88" s="48" t="s">
        <v>528</v>
      </c>
      <c r="D88" s="38" t="s">
        <v>558</v>
      </c>
      <c r="E88" s="38">
        <v>1100000000</v>
      </c>
      <c r="F88" s="38"/>
      <c r="G88" s="168">
        <f>G89</f>
        <v>112.73</v>
      </c>
      <c r="H88" s="168">
        <f aca="true" t="shared" si="33" ref="H88:I88">H89</f>
        <v>0</v>
      </c>
      <c r="I88" s="168">
        <f t="shared" si="33"/>
        <v>0</v>
      </c>
      <c r="J88" s="235"/>
    </row>
    <row r="89" spans="1:10" ht="15">
      <c r="A89" s="312">
        <v>68</v>
      </c>
      <c r="B89" s="279" t="s">
        <v>80</v>
      </c>
      <c r="C89" s="48" t="s">
        <v>528</v>
      </c>
      <c r="D89" s="38" t="s">
        <v>558</v>
      </c>
      <c r="E89" s="38">
        <v>1190000000</v>
      </c>
      <c r="F89" s="38"/>
      <c r="G89" s="168">
        <f>G90</f>
        <v>112.73</v>
      </c>
      <c r="H89" s="168">
        <f aca="true" t="shared" si="34" ref="H89:I89">H90</f>
        <v>0</v>
      </c>
      <c r="I89" s="168">
        <f t="shared" si="34"/>
        <v>0</v>
      </c>
      <c r="J89" s="235"/>
    </row>
    <row r="90" spans="1:10" ht="124.8">
      <c r="A90" s="312">
        <v>69</v>
      </c>
      <c r="B90" s="304" t="s">
        <v>577</v>
      </c>
      <c r="C90" s="48" t="s">
        <v>528</v>
      </c>
      <c r="D90" s="38" t="s">
        <v>558</v>
      </c>
      <c r="E90" s="38">
        <v>1190076450</v>
      </c>
      <c r="F90" s="38"/>
      <c r="G90" s="168">
        <f>G91</f>
        <v>112.73</v>
      </c>
      <c r="H90" s="168">
        <f aca="true" t="shared" si="35" ref="H90:I90">H91</f>
        <v>0</v>
      </c>
      <c r="I90" s="168">
        <f t="shared" si="35"/>
        <v>0</v>
      </c>
      <c r="J90" s="235"/>
    </row>
    <row r="91" spans="1:10" ht="15">
      <c r="A91" s="312">
        <v>70</v>
      </c>
      <c r="B91" s="304" t="s">
        <v>30</v>
      </c>
      <c r="C91" s="48" t="s">
        <v>528</v>
      </c>
      <c r="D91" s="38" t="s">
        <v>558</v>
      </c>
      <c r="E91" s="38">
        <v>1190076450</v>
      </c>
      <c r="F91" s="38">
        <v>500</v>
      </c>
      <c r="G91" s="168">
        <f>G92</f>
        <v>112.73</v>
      </c>
      <c r="H91" s="168">
        <f aca="true" t="shared" si="36" ref="H91:I91">H92</f>
        <v>0</v>
      </c>
      <c r="I91" s="168">
        <f t="shared" si="36"/>
        <v>0</v>
      </c>
      <c r="J91" s="235"/>
    </row>
    <row r="92" spans="1:10" ht="15">
      <c r="A92" s="312">
        <v>71</v>
      </c>
      <c r="B92" s="304" t="s">
        <v>42</v>
      </c>
      <c r="C92" s="48" t="s">
        <v>528</v>
      </c>
      <c r="D92" s="38" t="s">
        <v>558</v>
      </c>
      <c r="E92" s="38">
        <v>1190076450</v>
      </c>
      <c r="F92" s="38">
        <v>540</v>
      </c>
      <c r="G92" s="168">
        <v>112.73</v>
      </c>
      <c r="H92" s="168">
        <v>0</v>
      </c>
      <c r="I92" s="168">
        <v>0</v>
      </c>
      <c r="J92" s="235"/>
    </row>
    <row r="93" spans="1:9" ht="15">
      <c r="A93" s="312">
        <v>72</v>
      </c>
      <c r="B93" s="253" t="s">
        <v>98</v>
      </c>
      <c r="C93" s="48" t="s">
        <v>17</v>
      </c>
      <c r="D93" s="48" t="s">
        <v>393</v>
      </c>
      <c r="E93" s="38"/>
      <c r="F93" s="38"/>
      <c r="G93" s="168">
        <f>G107+G128+G94</f>
        <v>128265.26000000001</v>
      </c>
      <c r="H93" s="168">
        <f>H107+H128+H94</f>
        <v>34800</v>
      </c>
      <c r="I93" s="168">
        <f>I107+I128+I94</f>
        <v>34000</v>
      </c>
    </row>
    <row r="94" spans="1:9" ht="15">
      <c r="A94" s="312">
        <v>73</v>
      </c>
      <c r="B94" s="253" t="s">
        <v>244</v>
      </c>
      <c r="C94" s="48" t="s">
        <v>17</v>
      </c>
      <c r="D94" s="48" t="s">
        <v>497</v>
      </c>
      <c r="E94" s="38"/>
      <c r="F94" s="38"/>
      <c r="G94" s="168">
        <f>G95</f>
        <v>79738.28</v>
      </c>
      <c r="H94" s="168">
        <f aca="true" t="shared" si="37" ref="H94:I98">H95</f>
        <v>0</v>
      </c>
      <c r="I94" s="168">
        <f t="shared" si="37"/>
        <v>0</v>
      </c>
    </row>
    <row r="95" spans="1:9" ht="46.8">
      <c r="A95" s="312">
        <v>74</v>
      </c>
      <c r="B95" s="253" t="s">
        <v>285</v>
      </c>
      <c r="C95" s="48" t="s">
        <v>17</v>
      </c>
      <c r="D95" s="48" t="s">
        <v>497</v>
      </c>
      <c r="E95" s="38">
        <v>1200000000</v>
      </c>
      <c r="F95" s="38"/>
      <c r="G95" s="168">
        <f>G96+G103</f>
        <v>79738.28</v>
      </c>
      <c r="H95" s="168">
        <f>H96+H103</f>
        <v>0</v>
      </c>
      <c r="I95" s="168">
        <f>I96+I103</f>
        <v>0</v>
      </c>
    </row>
    <row r="96" spans="1:9" ht="46.8">
      <c r="A96" s="312">
        <v>75</v>
      </c>
      <c r="B96" s="257" t="s">
        <v>286</v>
      </c>
      <c r="C96" s="48" t="s">
        <v>17</v>
      </c>
      <c r="D96" s="48" t="s">
        <v>497</v>
      </c>
      <c r="E96" s="38">
        <v>1210000000</v>
      </c>
      <c r="F96" s="38"/>
      <c r="G96" s="168">
        <f>G97+G100</f>
        <v>79738.28</v>
      </c>
      <c r="H96" s="168">
        <f t="shared" si="37"/>
        <v>0</v>
      </c>
      <c r="I96" s="168">
        <f t="shared" si="37"/>
        <v>0</v>
      </c>
    </row>
    <row r="97" spans="1:10" ht="78">
      <c r="A97" s="312">
        <v>76</v>
      </c>
      <c r="B97" s="302" t="s">
        <v>498</v>
      </c>
      <c r="C97" s="48" t="s">
        <v>17</v>
      </c>
      <c r="D97" s="48" t="s">
        <v>497</v>
      </c>
      <c r="E97" s="38">
        <v>1210095020</v>
      </c>
      <c r="F97" s="38"/>
      <c r="G97" s="168">
        <f>G98</f>
        <v>33850.34</v>
      </c>
      <c r="H97" s="168">
        <f t="shared" si="37"/>
        <v>0</v>
      </c>
      <c r="I97" s="168">
        <f t="shared" si="37"/>
        <v>0</v>
      </c>
      <c r="J97" s="235"/>
    </row>
    <row r="98" spans="1:9" ht="15">
      <c r="A98" s="312">
        <v>77</v>
      </c>
      <c r="B98" s="253" t="s">
        <v>30</v>
      </c>
      <c r="C98" s="48" t="s">
        <v>17</v>
      </c>
      <c r="D98" s="48" t="s">
        <v>497</v>
      </c>
      <c r="E98" s="38">
        <v>1210095020</v>
      </c>
      <c r="F98" s="38">
        <v>500</v>
      </c>
      <c r="G98" s="168">
        <f>G99</f>
        <v>33850.34</v>
      </c>
      <c r="H98" s="168">
        <f t="shared" si="37"/>
        <v>0</v>
      </c>
      <c r="I98" s="168">
        <f t="shared" si="37"/>
        <v>0</v>
      </c>
    </row>
    <row r="99" spans="1:11" ht="15">
      <c r="A99" s="312">
        <v>78</v>
      </c>
      <c r="B99" s="253" t="s">
        <v>499</v>
      </c>
      <c r="C99" s="48"/>
      <c r="D99" s="48"/>
      <c r="E99" s="38">
        <v>1210095020</v>
      </c>
      <c r="F99" s="38">
        <v>520</v>
      </c>
      <c r="G99" s="168">
        <f>15684.32+54157.61-35991.59</f>
        <v>33850.34</v>
      </c>
      <c r="H99" s="168">
        <v>0</v>
      </c>
      <c r="I99" s="168">
        <v>0</v>
      </c>
      <c r="J99" s="235">
        <v>-20307.27</v>
      </c>
      <c r="K99" s="308">
        <v>-15684.32</v>
      </c>
    </row>
    <row r="100" spans="1:10" ht="62.4">
      <c r="A100" s="312">
        <v>79</v>
      </c>
      <c r="B100" s="302" t="s">
        <v>533</v>
      </c>
      <c r="C100" s="174" t="s">
        <v>528</v>
      </c>
      <c r="D100" s="38" t="s">
        <v>500</v>
      </c>
      <c r="E100" s="38">
        <v>1210096020</v>
      </c>
      <c r="F100" s="38"/>
      <c r="G100" s="168">
        <f>G101</f>
        <v>45887.939999999995</v>
      </c>
      <c r="H100" s="168">
        <f aca="true" t="shared" si="38" ref="H100:I101">H101</f>
        <v>0</v>
      </c>
      <c r="I100" s="168">
        <f t="shared" si="38"/>
        <v>0</v>
      </c>
      <c r="J100" s="235"/>
    </row>
    <row r="101" spans="1:10" ht="15">
      <c r="A101" s="312">
        <v>80</v>
      </c>
      <c r="B101" s="256" t="s">
        <v>30</v>
      </c>
      <c r="C101" s="174" t="s">
        <v>528</v>
      </c>
      <c r="D101" s="38" t="s">
        <v>500</v>
      </c>
      <c r="E101" s="38">
        <v>1210096020</v>
      </c>
      <c r="F101" s="38">
        <v>500</v>
      </c>
      <c r="G101" s="168">
        <f>G102</f>
        <v>45887.939999999995</v>
      </c>
      <c r="H101" s="168">
        <f t="shared" si="38"/>
        <v>0</v>
      </c>
      <c r="I101" s="168">
        <f t="shared" si="38"/>
        <v>0</v>
      </c>
      <c r="J101" s="235"/>
    </row>
    <row r="102" spans="1:10" ht="15">
      <c r="A102" s="312">
        <v>81</v>
      </c>
      <c r="B102" s="255" t="s">
        <v>499</v>
      </c>
      <c r="C102" s="174" t="s">
        <v>528</v>
      </c>
      <c r="D102" s="38" t="s">
        <v>500</v>
      </c>
      <c r="E102" s="38">
        <v>1210096020</v>
      </c>
      <c r="F102" s="38">
        <v>520</v>
      </c>
      <c r="G102" s="168">
        <f>54388.59-8500.65</f>
        <v>45887.939999999995</v>
      </c>
      <c r="H102" s="168">
        <v>0</v>
      </c>
      <c r="I102" s="168">
        <v>0</v>
      </c>
      <c r="J102" s="235">
        <v>-8500.65</v>
      </c>
    </row>
    <row r="103" spans="1:9" ht="15" hidden="1">
      <c r="A103" s="312">
        <v>82</v>
      </c>
      <c r="B103" s="253" t="s">
        <v>80</v>
      </c>
      <c r="C103" s="48" t="s">
        <v>17</v>
      </c>
      <c r="D103" s="48" t="s">
        <v>497</v>
      </c>
      <c r="E103" s="38">
        <v>1290000000</v>
      </c>
      <c r="F103" s="38"/>
      <c r="G103" s="168">
        <f>G104</f>
        <v>0</v>
      </c>
      <c r="H103" s="168">
        <f aca="true" t="shared" si="39" ref="H103:I105">H104</f>
        <v>0</v>
      </c>
      <c r="I103" s="168">
        <f t="shared" si="39"/>
        <v>0</v>
      </c>
    </row>
    <row r="104" spans="1:9" ht="15" hidden="1">
      <c r="A104" s="312">
        <v>83</v>
      </c>
      <c r="B104" s="253" t="s">
        <v>509</v>
      </c>
      <c r="C104" s="48" t="s">
        <v>17</v>
      </c>
      <c r="D104" s="48" t="s">
        <v>497</v>
      </c>
      <c r="E104" s="38">
        <v>1290083120</v>
      </c>
      <c r="F104" s="38"/>
      <c r="G104" s="168">
        <f>G105</f>
        <v>0</v>
      </c>
      <c r="H104" s="168">
        <f t="shared" si="39"/>
        <v>0</v>
      </c>
      <c r="I104" s="168">
        <f t="shared" si="39"/>
        <v>0</v>
      </c>
    </row>
    <row r="105" spans="1:9" ht="31.2" hidden="1">
      <c r="A105" s="312">
        <v>84</v>
      </c>
      <c r="B105" s="256" t="s">
        <v>32</v>
      </c>
      <c r="C105" s="48" t="s">
        <v>17</v>
      </c>
      <c r="D105" s="48" t="s">
        <v>497</v>
      </c>
      <c r="E105" s="38">
        <v>1290083120</v>
      </c>
      <c r="F105" s="38">
        <v>400</v>
      </c>
      <c r="G105" s="168">
        <f>G106</f>
        <v>0</v>
      </c>
      <c r="H105" s="168">
        <f t="shared" si="39"/>
        <v>0</v>
      </c>
      <c r="I105" s="168">
        <f t="shared" si="39"/>
        <v>0</v>
      </c>
    </row>
    <row r="106" spans="1:12" ht="46.8" hidden="1">
      <c r="A106" s="312">
        <v>85</v>
      </c>
      <c r="B106" s="256" t="s">
        <v>33</v>
      </c>
      <c r="C106" s="48" t="s">
        <v>17</v>
      </c>
      <c r="D106" s="48" t="s">
        <v>497</v>
      </c>
      <c r="E106" s="38">
        <v>1290083120</v>
      </c>
      <c r="F106" s="38">
        <v>410</v>
      </c>
      <c r="G106" s="168">
        <f>20000-20000</f>
        <v>0</v>
      </c>
      <c r="H106" s="168">
        <f>40000-40000</f>
        <v>0</v>
      </c>
      <c r="I106" s="168">
        <f>60000-60000</f>
        <v>0</v>
      </c>
      <c r="L106" s="234"/>
    </row>
    <row r="107" spans="1:9" ht="15">
      <c r="A107" s="312">
        <v>82</v>
      </c>
      <c r="B107" s="253" t="s">
        <v>99</v>
      </c>
      <c r="C107" s="48" t="s">
        <v>17</v>
      </c>
      <c r="D107" s="48" t="s">
        <v>394</v>
      </c>
      <c r="E107" s="38"/>
      <c r="F107" s="38"/>
      <c r="G107" s="168">
        <f>G108+G120</f>
        <v>45783.3</v>
      </c>
      <c r="H107" s="168">
        <f>H108+H120</f>
        <v>32800</v>
      </c>
      <c r="I107" s="168">
        <f>I108+I120</f>
        <v>30000</v>
      </c>
    </row>
    <row r="108" spans="1:9" ht="46.8">
      <c r="A108" s="312">
        <v>83</v>
      </c>
      <c r="B108" s="253" t="s">
        <v>100</v>
      </c>
      <c r="C108" s="48" t="s">
        <v>17</v>
      </c>
      <c r="D108" s="48" t="s">
        <v>246</v>
      </c>
      <c r="E108" s="38" t="s">
        <v>101</v>
      </c>
      <c r="F108" s="38"/>
      <c r="G108" s="168">
        <f>G113+G109</f>
        <v>45783.3</v>
      </c>
      <c r="H108" s="168">
        <f aca="true" t="shared" si="40" ref="H108:I108">H113+H109</f>
        <v>15000</v>
      </c>
      <c r="I108" s="168">
        <f t="shared" si="40"/>
        <v>30000</v>
      </c>
    </row>
    <row r="109" spans="1:9" ht="31.2">
      <c r="A109" s="312">
        <v>84</v>
      </c>
      <c r="B109" s="253" t="s">
        <v>518</v>
      </c>
      <c r="C109" s="48" t="s">
        <v>17</v>
      </c>
      <c r="D109" s="48" t="s">
        <v>394</v>
      </c>
      <c r="E109" s="38" t="s">
        <v>271</v>
      </c>
      <c r="F109" s="38"/>
      <c r="G109" s="168">
        <f>G110</f>
        <v>2000</v>
      </c>
      <c r="H109" s="168">
        <f aca="true" t="shared" si="41" ref="H109:I111">H110</f>
        <v>10000</v>
      </c>
      <c r="I109" s="168">
        <f t="shared" si="41"/>
        <v>25000</v>
      </c>
    </row>
    <row r="110" spans="1:9" ht="62.4">
      <c r="A110" s="312">
        <v>85</v>
      </c>
      <c r="B110" s="253" t="s">
        <v>520</v>
      </c>
      <c r="C110" s="48" t="s">
        <v>17</v>
      </c>
      <c r="D110" s="48" t="s">
        <v>394</v>
      </c>
      <c r="E110" s="38" t="s">
        <v>519</v>
      </c>
      <c r="F110" s="38"/>
      <c r="G110" s="168">
        <f>G111</f>
        <v>2000</v>
      </c>
      <c r="H110" s="168">
        <f t="shared" si="41"/>
        <v>10000</v>
      </c>
      <c r="I110" s="168">
        <f t="shared" si="41"/>
        <v>25000</v>
      </c>
    </row>
    <row r="111" spans="1:9" ht="15">
      <c r="A111" s="312">
        <v>86</v>
      </c>
      <c r="B111" s="253" t="s">
        <v>30</v>
      </c>
      <c r="C111" s="48" t="s">
        <v>17</v>
      </c>
      <c r="D111" s="48" t="s">
        <v>394</v>
      </c>
      <c r="E111" s="38" t="s">
        <v>519</v>
      </c>
      <c r="F111" s="38">
        <v>500</v>
      </c>
      <c r="G111" s="168">
        <f>G112</f>
        <v>2000</v>
      </c>
      <c r="H111" s="168">
        <f t="shared" si="41"/>
        <v>10000</v>
      </c>
      <c r="I111" s="168">
        <f t="shared" si="41"/>
        <v>25000</v>
      </c>
    </row>
    <row r="112" spans="1:11" ht="15">
      <c r="A112" s="312">
        <v>87</v>
      </c>
      <c r="B112" s="253" t="s">
        <v>42</v>
      </c>
      <c r="C112" s="48" t="s">
        <v>17</v>
      </c>
      <c r="D112" s="48" t="s">
        <v>394</v>
      </c>
      <c r="E112" s="38" t="s">
        <v>519</v>
      </c>
      <c r="F112" s="38">
        <v>540</v>
      </c>
      <c r="G112" s="168">
        <v>2000</v>
      </c>
      <c r="H112" s="168">
        <f>95000-85000</f>
        <v>10000</v>
      </c>
      <c r="I112" s="168">
        <f>50000-25000</f>
        <v>25000</v>
      </c>
      <c r="K112" s="234"/>
    </row>
    <row r="113" spans="1:9" ht="46.8">
      <c r="A113" s="312">
        <v>88</v>
      </c>
      <c r="B113" s="253" t="s">
        <v>273</v>
      </c>
      <c r="C113" s="48" t="s">
        <v>17</v>
      </c>
      <c r="D113" s="48" t="s">
        <v>394</v>
      </c>
      <c r="E113" s="38" t="s">
        <v>275</v>
      </c>
      <c r="F113" s="38"/>
      <c r="G113" s="168">
        <f>G114+G117</f>
        <v>43783.3</v>
      </c>
      <c r="H113" s="168">
        <f aca="true" t="shared" si="42" ref="H113:I113">H114+H117</f>
        <v>5000</v>
      </c>
      <c r="I113" s="168">
        <f t="shared" si="42"/>
        <v>5000</v>
      </c>
    </row>
    <row r="114" spans="1:9" ht="46.8">
      <c r="A114" s="312">
        <v>89</v>
      </c>
      <c r="B114" s="253" t="s">
        <v>562</v>
      </c>
      <c r="C114" s="48" t="s">
        <v>17</v>
      </c>
      <c r="D114" s="48" t="s">
        <v>394</v>
      </c>
      <c r="E114" s="38" t="s">
        <v>356</v>
      </c>
      <c r="F114" s="38"/>
      <c r="G114" s="168">
        <f>G115</f>
        <v>8783.3</v>
      </c>
      <c r="H114" s="168">
        <f aca="true" t="shared" si="43" ref="H114:I115">H115</f>
        <v>5000</v>
      </c>
      <c r="I114" s="168">
        <f t="shared" si="43"/>
        <v>5000</v>
      </c>
    </row>
    <row r="115" spans="1:9" ht="15">
      <c r="A115" s="312">
        <v>90</v>
      </c>
      <c r="B115" s="256" t="s">
        <v>30</v>
      </c>
      <c r="C115" s="48" t="s">
        <v>17</v>
      </c>
      <c r="D115" s="48" t="s">
        <v>394</v>
      </c>
      <c r="E115" s="38" t="s">
        <v>356</v>
      </c>
      <c r="F115" s="38">
        <v>500</v>
      </c>
      <c r="G115" s="168">
        <f>G116</f>
        <v>8783.3</v>
      </c>
      <c r="H115" s="168">
        <f t="shared" si="43"/>
        <v>5000</v>
      </c>
      <c r="I115" s="168">
        <f t="shared" si="43"/>
        <v>5000</v>
      </c>
    </row>
    <row r="116" spans="1:9" ht="15">
      <c r="A116" s="312">
        <v>91</v>
      </c>
      <c r="B116" s="256" t="s">
        <v>42</v>
      </c>
      <c r="C116" s="48" t="s">
        <v>17</v>
      </c>
      <c r="D116" s="48" t="s">
        <v>394</v>
      </c>
      <c r="E116" s="38" t="s">
        <v>356</v>
      </c>
      <c r="F116" s="38">
        <v>540</v>
      </c>
      <c r="G116" s="168">
        <f>5000+2000+180+831+302.3+1450-980</f>
        <v>8783.3</v>
      </c>
      <c r="H116" s="168">
        <v>5000</v>
      </c>
      <c r="I116" s="168">
        <v>5000</v>
      </c>
    </row>
    <row r="117" spans="1:9" ht="46.8">
      <c r="A117" s="312">
        <v>92</v>
      </c>
      <c r="B117" s="264" t="s">
        <v>570</v>
      </c>
      <c r="C117" s="48" t="s">
        <v>17</v>
      </c>
      <c r="D117" s="48" t="s">
        <v>394</v>
      </c>
      <c r="E117" s="38" t="s">
        <v>571</v>
      </c>
      <c r="F117" s="38"/>
      <c r="G117" s="168">
        <f>G118</f>
        <v>35000</v>
      </c>
      <c r="H117" s="168">
        <f aca="true" t="shared" si="44" ref="H117:I118">H118</f>
        <v>0</v>
      </c>
      <c r="I117" s="168">
        <f t="shared" si="44"/>
        <v>0</v>
      </c>
    </row>
    <row r="118" spans="1:9" ht="15">
      <c r="A118" s="312">
        <v>93</v>
      </c>
      <c r="B118" s="256" t="s">
        <v>30</v>
      </c>
      <c r="C118" s="48" t="s">
        <v>17</v>
      </c>
      <c r="D118" s="48" t="s">
        <v>394</v>
      </c>
      <c r="E118" s="38" t="s">
        <v>571</v>
      </c>
      <c r="F118" s="38">
        <v>500</v>
      </c>
      <c r="G118" s="168">
        <f>G119</f>
        <v>35000</v>
      </c>
      <c r="H118" s="168">
        <f t="shared" si="44"/>
        <v>0</v>
      </c>
      <c r="I118" s="168">
        <f t="shared" si="44"/>
        <v>0</v>
      </c>
    </row>
    <row r="119" spans="1:9" ht="15">
      <c r="A119" s="312">
        <v>94</v>
      </c>
      <c r="B119" s="256" t="s">
        <v>42</v>
      </c>
      <c r="C119" s="48" t="s">
        <v>17</v>
      </c>
      <c r="D119" s="48" t="s">
        <v>394</v>
      </c>
      <c r="E119" s="38" t="s">
        <v>571</v>
      </c>
      <c r="F119" s="38">
        <v>540</v>
      </c>
      <c r="G119" s="168">
        <f>35000</f>
        <v>35000</v>
      </c>
      <c r="H119" s="168">
        <v>0</v>
      </c>
      <c r="I119" s="168">
        <v>0</v>
      </c>
    </row>
    <row r="120" spans="1:9" ht="62.4">
      <c r="A120" s="312">
        <v>95</v>
      </c>
      <c r="B120" s="257" t="s">
        <v>278</v>
      </c>
      <c r="C120" s="48" t="s">
        <v>17</v>
      </c>
      <c r="D120" s="48" t="s">
        <v>394</v>
      </c>
      <c r="E120" s="38">
        <v>1000000000</v>
      </c>
      <c r="F120" s="38"/>
      <c r="G120" s="168">
        <f>G121</f>
        <v>0</v>
      </c>
      <c r="H120" s="168">
        <f>H121+H125</f>
        <v>17800</v>
      </c>
      <c r="I120" s="168">
        <f aca="true" t="shared" si="45" ref="H120:I123">I121</f>
        <v>0</v>
      </c>
    </row>
    <row r="121" spans="1:9" ht="62.4">
      <c r="A121" s="312">
        <v>96</v>
      </c>
      <c r="B121" s="257" t="s">
        <v>280</v>
      </c>
      <c r="C121" s="48" t="s">
        <v>17</v>
      </c>
      <c r="D121" s="48" t="s">
        <v>394</v>
      </c>
      <c r="E121" s="38">
        <v>1020000000</v>
      </c>
      <c r="F121" s="38"/>
      <c r="G121" s="168">
        <f>G122</f>
        <v>0</v>
      </c>
      <c r="H121" s="168">
        <f t="shared" si="45"/>
        <v>14800</v>
      </c>
      <c r="I121" s="168">
        <f t="shared" si="45"/>
        <v>0</v>
      </c>
    </row>
    <row r="122" spans="1:9" ht="62.4">
      <c r="A122" s="312">
        <v>97</v>
      </c>
      <c r="B122" s="255" t="s">
        <v>455</v>
      </c>
      <c r="C122" s="48" t="s">
        <v>17</v>
      </c>
      <c r="D122" s="48" t="s">
        <v>394</v>
      </c>
      <c r="E122" s="38">
        <v>1020087080</v>
      </c>
      <c r="F122" s="38"/>
      <c r="G122" s="168">
        <f>G123</f>
        <v>0</v>
      </c>
      <c r="H122" s="168">
        <f t="shared" si="45"/>
        <v>14800</v>
      </c>
      <c r="I122" s="168">
        <f t="shared" si="45"/>
        <v>0</v>
      </c>
    </row>
    <row r="123" spans="1:9" ht="15">
      <c r="A123" s="312">
        <v>98</v>
      </c>
      <c r="B123" s="256" t="s">
        <v>30</v>
      </c>
      <c r="C123" s="48" t="s">
        <v>17</v>
      </c>
      <c r="D123" s="48" t="s">
        <v>394</v>
      </c>
      <c r="E123" s="38">
        <v>1020087080</v>
      </c>
      <c r="F123" s="38"/>
      <c r="G123" s="168">
        <f>G124</f>
        <v>0</v>
      </c>
      <c r="H123" s="168">
        <f t="shared" si="45"/>
        <v>14800</v>
      </c>
      <c r="I123" s="168">
        <f t="shared" si="45"/>
        <v>0</v>
      </c>
    </row>
    <row r="124" spans="1:9" ht="15">
      <c r="A124" s="312">
        <v>99</v>
      </c>
      <c r="B124" s="256" t="s">
        <v>42</v>
      </c>
      <c r="C124" s="48" t="s">
        <v>17</v>
      </c>
      <c r="D124" s="48" t="s">
        <v>394</v>
      </c>
      <c r="E124" s="38">
        <v>1020087080</v>
      </c>
      <c r="F124" s="38">
        <v>500</v>
      </c>
      <c r="G124" s="168">
        <v>0</v>
      </c>
      <c r="H124" s="168">
        <v>14800</v>
      </c>
      <c r="I124" s="168">
        <v>0</v>
      </c>
    </row>
    <row r="125" spans="1:9" ht="62.4">
      <c r="A125" s="312">
        <v>100</v>
      </c>
      <c r="B125" s="265" t="s">
        <v>516</v>
      </c>
      <c r="C125" s="174" t="s">
        <v>528</v>
      </c>
      <c r="D125" s="38" t="s">
        <v>394</v>
      </c>
      <c r="E125" s="38">
        <v>1020087130</v>
      </c>
      <c r="F125" s="38"/>
      <c r="G125" s="168">
        <f>G126</f>
        <v>0</v>
      </c>
      <c r="H125" s="168">
        <f aca="true" t="shared" si="46" ref="H125:I126">H126</f>
        <v>3000</v>
      </c>
      <c r="I125" s="168">
        <f t="shared" si="46"/>
        <v>0</v>
      </c>
    </row>
    <row r="126" spans="1:9" ht="31.2">
      <c r="A126" s="312">
        <v>101</v>
      </c>
      <c r="B126" s="256" t="s">
        <v>32</v>
      </c>
      <c r="C126" s="174" t="s">
        <v>528</v>
      </c>
      <c r="D126" s="38" t="s">
        <v>394</v>
      </c>
      <c r="E126" s="38">
        <v>1020087130</v>
      </c>
      <c r="F126" s="38">
        <v>200</v>
      </c>
      <c r="G126" s="168">
        <f>G127</f>
        <v>0</v>
      </c>
      <c r="H126" s="168">
        <f t="shared" si="46"/>
        <v>3000</v>
      </c>
      <c r="I126" s="168">
        <f t="shared" si="46"/>
        <v>0</v>
      </c>
    </row>
    <row r="127" spans="1:9" ht="46.8">
      <c r="A127" s="312">
        <v>102</v>
      </c>
      <c r="B127" s="256" t="s">
        <v>33</v>
      </c>
      <c r="C127" s="174" t="s">
        <v>528</v>
      </c>
      <c r="D127" s="38" t="s">
        <v>394</v>
      </c>
      <c r="E127" s="38">
        <v>1020087130</v>
      </c>
      <c r="F127" s="38">
        <v>240</v>
      </c>
      <c r="G127" s="168">
        <f>3000-3000</f>
        <v>0</v>
      </c>
      <c r="H127" s="168">
        <v>3000</v>
      </c>
      <c r="I127" s="168">
        <v>0</v>
      </c>
    </row>
    <row r="128" spans="1:9" ht="15">
      <c r="A128" s="312">
        <v>103</v>
      </c>
      <c r="B128" s="255" t="s">
        <v>247</v>
      </c>
      <c r="C128" s="48" t="s">
        <v>17</v>
      </c>
      <c r="D128" s="48" t="s">
        <v>395</v>
      </c>
      <c r="E128" s="38"/>
      <c r="F128" s="38">
        <v>540</v>
      </c>
      <c r="G128" s="168">
        <f>G129</f>
        <v>2743.68</v>
      </c>
      <c r="H128" s="168">
        <f aca="true" t="shared" si="47" ref="H128:I130">H129</f>
        <v>2000</v>
      </c>
      <c r="I128" s="168">
        <f t="shared" si="47"/>
        <v>4000</v>
      </c>
    </row>
    <row r="129" spans="1:9" ht="31.2">
      <c r="A129" s="312">
        <v>104</v>
      </c>
      <c r="B129" s="253" t="s">
        <v>270</v>
      </c>
      <c r="C129" s="48" t="s">
        <v>17</v>
      </c>
      <c r="D129" s="48" t="s">
        <v>395</v>
      </c>
      <c r="E129" s="38" t="s">
        <v>61</v>
      </c>
      <c r="F129" s="38"/>
      <c r="G129" s="168">
        <f>G130</f>
        <v>2743.68</v>
      </c>
      <c r="H129" s="168">
        <f t="shared" si="47"/>
        <v>2000</v>
      </c>
      <c r="I129" s="168">
        <f t="shared" si="47"/>
        <v>4000</v>
      </c>
    </row>
    <row r="130" spans="1:9" ht="78">
      <c r="A130" s="312">
        <v>105</v>
      </c>
      <c r="B130" s="253" t="s">
        <v>418</v>
      </c>
      <c r="C130" s="48" t="s">
        <v>17</v>
      </c>
      <c r="D130" s="48" t="s">
        <v>395</v>
      </c>
      <c r="E130" s="38" t="s">
        <v>360</v>
      </c>
      <c r="F130" s="38"/>
      <c r="G130" s="168">
        <f>G131</f>
        <v>2743.68</v>
      </c>
      <c r="H130" s="168">
        <f t="shared" si="47"/>
        <v>2000</v>
      </c>
      <c r="I130" s="168">
        <f t="shared" si="47"/>
        <v>4000</v>
      </c>
    </row>
    <row r="131" spans="1:9" ht="31.2">
      <c r="A131" s="312">
        <v>106</v>
      </c>
      <c r="B131" s="303" t="s">
        <v>359</v>
      </c>
      <c r="C131" s="48" t="s">
        <v>17</v>
      </c>
      <c r="D131" s="48" t="s">
        <v>395</v>
      </c>
      <c r="E131" s="38" t="s">
        <v>361</v>
      </c>
      <c r="F131" s="38"/>
      <c r="G131" s="168">
        <f>G132</f>
        <v>2743.68</v>
      </c>
      <c r="H131" s="168">
        <f aca="true" t="shared" si="48" ref="H131:I132">H132</f>
        <v>2000</v>
      </c>
      <c r="I131" s="168">
        <f t="shared" si="48"/>
        <v>4000</v>
      </c>
    </row>
    <row r="132" spans="1:9" ht="15">
      <c r="A132" s="312">
        <v>107</v>
      </c>
      <c r="B132" s="256" t="s">
        <v>30</v>
      </c>
      <c r="C132" s="48" t="s">
        <v>17</v>
      </c>
      <c r="D132" s="48" t="s">
        <v>395</v>
      </c>
      <c r="E132" s="38" t="s">
        <v>361</v>
      </c>
      <c r="F132" s="38">
        <v>500</v>
      </c>
      <c r="G132" s="168">
        <f>G133</f>
        <v>2743.68</v>
      </c>
      <c r="H132" s="168">
        <f t="shared" si="48"/>
        <v>2000</v>
      </c>
      <c r="I132" s="168">
        <f t="shared" si="48"/>
        <v>4000</v>
      </c>
    </row>
    <row r="133" spans="1:12" ht="15">
      <c r="A133" s="312">
        <v>108</v>
      </c>
      <c r="B133" s="256" t="s">
        <v>42</v>
      </c>
      <c r="C133" s="48" t="s">
        <v>17</v>
      </c>
      <c r="D133" s="48" t="s">
        <v>395</v>
      </c>
      <c r="E133" s="38" t="s">
        <v>361</v>
      </c>
      <c r="F133" s="38">
        <v>540</v>
      </c>
      <c r="G133" s="168">
        <f>4000-423.4-436.09-125.35-103.53-167.95</f>
        <v>2743.68</v>
      </c>
      <c r="H133" s="168">
        <f>4000-2000</f>
        <v>2000</v>
      </c>
      <c r="I133" s="168">
        <v>4000</v>
      </c>
      <c r="L133" s="305">
        <v>-167.95</v>
      </c>
    </row>
    <row r="134" spans="1:9" ht="15">
      <c r="A134" s="312">
        <v>109</v>
      </c>
      <c r="B134" s="263" t="s">
        <v>142</v>
      </c>
      <c r="C134" s="38" t="s">
        <v>17</v>
      </c>
      <c r="D134" s="38" t="s">
        <v>408</v>
      </c>
      <c r="E134" s="38"/>
      <c r="F134" s="38"/>
      <c r="G134" s="168">
        <f>G135</f>
        <v>1572.94</v>
      </c>
      <c r="H134" s="168">
        <f aca="true" t="shared" si="49" ref="H134:I147">H135</f>
        <v>0</v>
      </c>
      <c r="I134" s="168">
        <f t="shared" si="49"/>
        <v>0</v>
      </c>
    </row>
    <row r="135" spans="1:9" ht="15">
      <c r="A135" s="312">
        <v>110</v>
      </c>
      <c r="B135" s="263" t="s">
        <v>143</v>
      </c>
      <c r="C135" s="38" t="s">
        <v>17</v>
      </c>
      <c r="D135" s="38" t="s">
        <v>409</v>
      </c>
      <c r="E135" s="38"/>
      <c r="F135" s="38"/>
      <c r="G135" s="168">
        <f>G136</f>
        <v>1572.94</v>
      </c>
      <c r="H135" s="168">
        <f aca="true" t="shared" si="50" ref="H135:I135">H145+H141</f>
        <v>0</v>
      </c>
      <c r="I135" s="168">
        <f t="shared" si="50"/>
        <v>0</v>
      </c>
    </row>
    <row r="136" spans="1:9" ht="31.2">
      <c r="A136" s="312">
        <v>111</v>
      </c>
      <c r="B136" s="253" t="s">
        <v>354</v>
      </c>
      <c r="C136" s="38" t="s">
        <v>17</v>
      </c>
      <c r="D136" s="38" t="s">
        <v>409</v>
      </c>
      <c r="E136" s="38" t="s">
        <v>126</v>
      </c>
      <c r="F136" s="38"/>
      <c r="G136" s="168">
        <f>G137+G141+G145</f>
        <v>1572.94</v>
      </c>
      <c r="H136" s="168">
        <f>H137+H141+H145</f>
        <v>0</v>
      </c>
      <c r="I136" s="168">
        <f>I137+I141+I145</f>
        <v>0</v>
      </c>
    </row>
    <row r="137" spans="1:9" ht="15">
      <c r="A137" s="312">
        <v>112</v>
      </c>
      <c r="B137" s="253" t="s">
        <v>144</v>
      </c>
      <c r="C137" s="38" t="s">
        <v>17</v>
      </c>
      <c r="D137" s="38" t="s">
        <v>409</v>
      </c>
      <c r="E137" s="38" t="s">
        <v>145</v>
      </c>
      <c r="F137" s="38"/>
      <c r="G137" s="168">
        <f>G138</f>
        <v>572.2</v>
      </c>
      <c r="H137" s="168">
        <f aca="true" t="shared" si="51" ref="H137:I137">H138</f>
        <v>0</v>
      </c>
      <c r="I137" s="168">
        <f t="shared" si="51"/>
        <v>0</v>
      </c>
    </row>
    <row r="138" spans="1:9" ht="124.8">
      <c r="A138" s="312">
        <v>113</v>
      </c>
      <c r="B138" s="252" t="s">
        <v>573</v>
      </c>
      <c r="C138" s="38" t="s">
        <v>17</v>
      </c>
      <c r="D138" s="38" t="s">
        <v>409</v>
      </c>
      <c r="E138" s="38" t="s">
        <v>574</v>
      </c>
      <c r="F138" s="38"/>
      <c r="G138" s="168">
        <f>G139</f>
        <v>572.2</v>
      </c>
      <c r="H138" s="168">
        <f aca="true" t="shared" si="52" ref="H138:I139">H139</f>
        <v>0</v>
      </c>
      <c r="I138" s="168">
        <f t="shared" si="52"/>
        <v>0</v>
      </c>
    </row>
    <row r="139" spans="1:9" ht="15">
      <c r="A139" s="312">
        <v>114</v>
      </c>
      <c r="B139" s="256" t="s">
        <v>30</v>
      </c>
      <c r="C139" s="48" t="s">
        <v>17</v>
      </c>
      <c r="D139" s="48" t="s">
        <v>409</v>
      </c>
      <c r="E139" s="38" t="s">
        <v>574</v>
      </c>
      <c r="F139" s="38">
        <v>500</v>
      </c>
      <c r="G139" s="168">
        <f>G140</f>
        <v>572.2</v>
      </c>
      <c r="H139" s="168">
        <f t="shared" si="52"/>
        <v>0</v>
      </c>
      <c r="I139" s="168">
        <f t="shared" si="52"/>
        <v>0</v>
      </c>
    </row>
    <row r="140" spans="1:9" ht="15">
      <c r="A140" s="312">
        <v>115</v>
      </c>
      <c r="B140" s="256" t="s">
        <v>42</v>
      </c>
      <c r="C140" s="48" t="s">
        <v>17</v>
      </c>
      <c r="D140" s="48" t="s">
        <v>409</v>
      </c>
      <c r="E140" s="38" t="s">
        <v>574</v>
      </c>
      <c r="F140" s="38">
        <v>540</v>
      </c>
      <c r="G140" s="168">
        <v>572.2</v>
      </c>
      <c r="H140" s="168">
        <v>0</v>
      </c>
      <c r="I140" s="168">
        <v>0</v>
      </c>
    </row>
    <row r="141" spans="1:9" ht="15">
      <c r="A141" s="312">
        <v>116</v>
      </c>
      <c r="B141" s="116" t="s">
        <v>148</v>
      </c>
      <c r="C141" s="38" t="s">
        <v>17</v>
      </c>
      <c r="D141" s="38" t="s">
        <v>409</v>
      </c>
      <c r="E141" s="38" t="s">
        <v>149</v>
      </c>
      <c r="F141" s="38"/>
      <c r="G141" s="168">
        <f>G142</f>
        <v>830</v>
      </c>
      <c r="H141" s="168">
        <f aca="true" t="shared" si="53" ref="H141:I143">H142</f>
        <v>0</v>
      </c>
      <c r="I141" s="168">
        <f t="shared" si="53"/>
        <v>0</v>
      </c>
    </row>
    <row r="142" spans="1:9" ht="78">
      <c r="A142" s="312">
        <v>117</v>
      </c>
      <c r="B142" s="263" t="s">
        <v>550</v>
      </c>
      <c r="C142" s="38" t="s">
        <v>17</v>
      </c>
      <c r="D142" s="38" t="s">
        <v>409</v>
      </c>
      <c r="E142" s="38" t="s">
        <v>549</v>
      </c>
      <c r="F142" s="38"/>
      <c r="G142" s="168">
        <f>G143</f>
        <v>830</v>
      </c>
      <c r="H142" s="168">
        <f t="shared" si="53"/>
        <v>0</v>
      </c>
      <c r="I142" s="168">
        <f t="shared" si="53"/>
        <v>0</v>
      </c>
    </row>
    <row r="143" spans="1:9" ht="15">
      <c r="A143" s="312">
        <v>118</v>
      </c>
      <c r="B143" s="256" t="s">
        <v>30</v>
      </c>
      <c r="C143" s="48" t="s">
        <v>17</v>
      </c>
      <c r="D143" s="48" t="s">
        <v>409</v>
      </c>
      <c r="E143" s="38" t="s">
        <v>549</v>
      </c>
      <c r="F143" s="38">
        <v>500</v>
      </c>
      <c r="G143" s="168">
        <f>G144</f>
        <v>830</v>
      </c>
      <c r="H143" s="168">
        <f t="shared" si="53"/>
        <v>0</v>
      </c>
      <c r="I143" s="168">
        <f t="shared" si="53"/>
        <v>0</v>
      </c>
    </row>
    <row r="144" spans="1:9" ht="15">
      <c r="A144" s="312">
        <v>119</v>
      </c>
      <c r="B144" s="256" t="s">
        <v>42</v>
      </c>
      <c r="C144" s="48" t="s">
        <v>17</v>
      </c>
      <c r="D144" s="48" t="s">
        <v>409</v>
      </c>
      <c r="E144" s="38" t="s">
        <v>549</v>
      </c>
      <c r="F144" s="38">
        <v>540</v>
      </c>
      <c r="G144" s="168">
        <v>830</v>
      </c>
      <c r="H144" s="168">
        <v>0</v>
      </c>
      <c r="I144" s="168">
        <v>0</v>
      </c>
    </row>
    <row r="145" spans="1:9" ht="31.2">
      <c r="A145" s="312">
        <v>120</v>
      </c>
      <c r="B145" s="253" t="s">
        <v>136</v>
      </c>
      <c r="C145" s="38" t="s">
        <v>17</v>
      </c>
      <c r="D145" s="38" t="s">
        <v>409</v>
      </c>
      <c r="E145" s="38" t="s">
        <v>137</v>
      </c>
      <c r="F145" s="38"/>
      <c r="G145" s="168">
        <f>G146+G149</f>
        <v>170.74</v>
      </c>
      <c r="H145" s="168">
        <f t="shared" si="49"/>
        <v>0</v>
      </c>
      <c r="I145" s="168">
        <f t="shared" si="49"/>
        <v>0</v>
      </c>
    </row>
    <row r="146" spans="1:9" ht="46.8">
      <c r="A146" s="312">
        <v>121</v>
      </c>
      <c r="B146" s="255" t="s">
        <v>534</v>
      </c>
      <c r="C146" s="48" t="s">
        <v>17</v>
      </c>
      <c r="D146" s="48" t="s">
        <v>409</v>
      </c>
      <c r="E146" s="38" t="s">
        <v>535</v>
      </c>
      <c r="F146" s="38"/>
      <c r="G146" s="168">
        <f>G147</f>
        <v>70.74</v>
      </c>
      <c r="H146" s="168">
        <f t="shared" si="49"/>
        <v>0</v>
      </c>
      <c r="I146" s="168">
        <f t="shared" si="49"/>
        <v>0</v>
      </c>
    </row>
    <row r="147" spans="1:9" ht="15">
      <c r="A147" s="312">
        <v>122</v>
      </c>
      <c r="B147" s="256" t="s">
        <v>30</v>
      </c>
      <c r="C147" s="48" t="s">
        <v>17</v>
      </c>
      <c r="D147" s="48" t="s">
        <v>409</v>
      </c>
      <c r="E147" s="38" t="s">
        <v>535</v>
      </c>
      <c r="F147" s="38">
        <v>500</v>
      </c>
      <c r="G147" s="168">
        <f>G148</f>
        <v>70.74</v>
      </c>
      <c r="H147" s="168">
        <f t="shared" si="49"/>
        <v>0</v>
      </c>
      <c r="I147" s="168">
        <f t="shared" si="49"/>
        <v>0</v>
      </c>
    </row>
    <row r="148" spans="1:9" ht="15">
      <c r="A148" s="312">
        <v>123</v>
      </c>
      <c r="B148" s="256" t="s">
        <v>42</v>
      </c>
      <c r="C148" s="48" t="s">
        <v>17</v>
      </c>
      <c r="D148" s="48" t="s">
        <v>409</v>
      </c>
      <c r="E148" s="38" t="s">
        <v>535</v>
      </c>
      <c r="F148" s="38">
        <v>540</v>
      </c>
      <c r="G148" s="168">
        <v>70.74</v>
      </c>
      <c r="H148" s="168">
        <v>0</v>
      </c>
      <c r="I148" s="168">
        <v>0</v>
      </c>
    </row>
    <row r="149" spans="1:9" ht="78">
      <c r="A149" s="312">
        <v>124</v>
      </c>
      <c r="B149" s="256" t="s">
        <v>544</v>
      </c>
      <c r="C149" s="48" t="s">
        <v>17</v>
      </c>
      <c r="D149" s="48" t="s">
        <v>409</v>
      </c>
      <c r="E149" s="38" t="s">
        <v>575</v>
      </c>
      <c r="F149" s="38"/>
      <c r="G149" s="168">
        <f>G150</f>
        <v>100</v>
      </c>
      <c r="H149" s="168">
        <f aca="true" t="shared" si="54" ref="H149:I150">H150</f>
        <v>0</v>
      </c>
      <c r="I149" s="168">
        <f t="shared" si="54"/>
        <v>0</v>
      </c>
    </row>
    <row r="150" spans="1:9" ht="15">
      <c r="A150" s="312">
        <v>125</v>
      </c>
      <c r="B150" s="256" t="s">
        <v>30</v>
      </c>
      <c r="C150" s="48" t="s">
        <v>17</v>
      </c>
      <c r="D150" s="48" t="s">
        <v>409</v>
      </c>
      <c r="E150" s="38" t="s">
        <v>535</v>
      </c>
      <c r="F150" s="38">
        <v>500</v>
      </c>
      <c r="G150" s="168">
        <f>G151</f>
        <v>100</v>
      </c>
      <c r="H150" s="168">
        <f t="shared" si="54"/>
        <v>0</v>
      </c>
      <c r="I150" s="168">
        <f t="shared" si="54"/>
        <v>0</v>
      </c>
    </row>
    <row r="151" spans="1:9" ht="15">
      <c r="A151" s="312">
        <v>126</v>
      </c>
      <c r="B151" s="256" t="s">
        <v>42</v>
      </c>
      <c r="C151" s="48" t="s">
        <v>17</v>
      </c>
      <c r="D151" s="48" t="s">
        <v>409</v>
      </c>
      <c r="E151" s="38" t="s">
        <v>535</v>
      </c>
      <c r="F151" s="38">
        <v>540</v>
      </c>
      <c r="G151" s="168">
        <f>100</f>
        <v>100</v>
      </c>
      <c r="H151" s="168">
        <v>0</v>
      </c>
      <c r="I151" s="168">
        <v>0</v>
      </c>
    </row>
    <row r="152" spans="1:9" ht="31.2">
      <c r="A152" s="312">
        <v>127</v>
      </c>
      <c r="B152" s="255" t="s">
        <v>377</v>
      </c>
      <c r="C152" s="48" t="s">
        <v>17</v>
      </c>
      <c r="D152" s="48" t="s">
        <v>378</v>
      </c>
      <c r="E152" s="38"/>
      <c r="F152" s="38"/>
      <c r="G152" s="168">
        <f>G153</f>
        <v>5</v>
      </c>
      <c r="H152" s="168">
        <f aca="true" t="shared" si="55" ref="H152:I156">H153</f>
        <v>162.5</v>
      </c>
      <c r="I152" s="168">
        <f t="shared" si="55"/>
        <v>162.5</v>
      </c>
    </row>
    <row r="153" spans="1:9" ht="27.6">
      <c r="A153" s="312">
        <v>128</v>
      </c>
      <c r="B153" s="103" t="s">
        <v>379</v>
      </c>
      <c r="C153" s="48" t="s">
        <v>17</v>
      </c>
      <c r="D153" s="48" t="s">
        <v>396</v>
      </c>
      <c r="E153" s="38"/>
      <c r="F153" s="38"/>
      <c r="G153" s="168">
        <f>G154</f>
        <v>5</v>
      </c>
      <c r="H153" s="168">
        <f t="shared" si="55"/>
        <v>162.5</v>
      </c>
      <c r="I153" s="168">
        <f t="shared" si="55"/>
        <v>162.5</v>
      </c>
    </row>
    <row r="154" spans="1:9" ht="31.2">
      <c r="A154" s="312">
        <v>129</v>
      </c>
      <c r="B154" s="255" t="s">
        <v>28</v>
      </c>
      <c r="C154" s="48" t="s">
        <v>17</v>
      </c>
      <c r="D154" s="48" t="s">
        <v>396</v>
      </c>
      <c r="E154" s="38">
        <v>9170000000</v>
      </c>
      <c r="F154" s="38"/>
      <c r="G154" s="168">
        <f>G155</f>
        <v>5</v>
      </c>
      <c r="H154" s="168">
        <f t="shared" si="55"/>
        <v>162.5</v>
      </c>
      <c r="I154" s="168">
        <f t="shared" si="55"/>
        <v>162.5</v>
      </c>
    </row>
    <row r="155" spans="1:9" ht="15">
      <c r="A155" s="312">
        <v>130</v>
      </c>
      <c r="B155" s="256" t="s">
        <v>380</v>
      </c>
      <c r="C155" s="48" t="s">
        <v>17</v>
      </c>
      <c r="D155" s="48" t="s">
        <v>396</v>
      </c>
      <c r="E155" s="38">
        <v>9170000910</v>
      </c>
      <c r="F155" s="38"/>
      <c r="G155" s="168">
        <f>G156</f>
        <v>5</v>
      </c>
      <c r="H155" s="168">
        <f t="shared" si="55"/>
        <v>162.5</v>
      </c>
      <c r="I155" s="168">
        <f t="shared" si="55"/>
        <v>162.5</v>
      </c>
    </row>
    <row r="156" spans="1:9" ht="31.2">
      <c r="A156" s="312">
        <v>131</v>
      </c>
      <c r="B156" s="214" t="s">
        <v>381</v>
      </c>
      <c r="C156" s="48" t="s">
        <v>17</v>
      </c>
      <c r="D156" s="48" t="s">
        <v>396</v>
      </c>
      <c r="E156" s="38">
        <v>9170000910</v>
      </c>
      <c r="F156" s="38">
        <v>700</v>
      </c>
      <c r="G156" s="168">
        <f>G157</f>
        <v>5</v>
      </c>
      <c r="H156" s="168">
        <f t="shared" si="55"/>
        <v>162.5</v>
      </c>
      <c r="I156" s="168">
        <f t="shared" si="55"/>
        <v>162.5</v>
      </c>
    </row>
    <row r="157" spans="1:9" ht="15">
      <c r="A157" s="312">
        <v>132</v>
      </c>
      <c r="B157" s="215" t="s">
        <v>382</v>
      </c>
      <c r="C157" s="48" t="s">
        <v>17</v>
      </c>
      <c r="D157" s="48" t="s">
        <v>396</v>
      </c>
      <c r="E157" s="38">
        <v>9170000910</v>
      </c>
      <c r="F157" s="38">
        <v>730</v>
      </c>
      <c r="G157" s="168">
        <f>162.5-157.5</f>
        <v>5</v>
      </c>
      <c r="H157" s="168">
        <v>162.5</v>
      </c>
      <c r="I157" s="168">
        <v>162.5</v>
      </c>
    </row>
    <row r="158" spans="1:9" ht="46.8">
      <c r="A158" s="312">
        <v>133</v>
      </c>
      <c r="B158" s="254" t="s">
        <v>325</v>
      </c>
      <c r="C158" s="48" t="s">
        <v>17</v>
      </c>
      <c r="D158" s="38" t="s">
        <v>397</v>
      </c>
      <c r="E158" s="38"/>
      <c r="F158" s="38"/>
      <c r="G158" s="168">
        <f>G159+G168</f>
        <v>94689.70999999999</v>
      </c>
      <c r="H158" s="168">
        <f>H159+H168</f>
        <v>67331.44</v>
      </c>
      <c r="I158" s="168">
        <f>I159+I168</f>
        <v>67331.44</v>
      </c>
    </row>
    <row r="159" spans="1:9" ht="46.8">
      <c r="A159" s="312">
        <v>134</v>
      </c>
      <c r="B159" s="256" t="s">
        <v>44</v>
      </c>
      <c r="C159" s="48" t="s">
        <v>17</v>
      </c>
      <c r="D159" s="38" t="s">
        <v>398</v>
      </c>
      <c r="E159" s="38"/>
      <c r="F159" s="38"/>
      <c r="G159" s="168">
        <f>G160</f>
        <v>46028.93</v>
      </c>
      <c r="H159" s="168">
        <f aca="true" t="shared" si="56" ref="H159:I160">H160</f>
        <v>36762.130000000005</v>
      </c>
      <c r="I159" s="168">
        <f t="shared" si="56"/>
        <v>36762.130000000005</v>
      </c>
    </row>
    <row r="160" spans="1:9" ht="46.8">
      <c r="A160" s="312">
        <v>135</v>
      </c>
      <c r="B160" s="257" t="s">
        <v>45</v>
      </c>
      <c r="C160" s="48" t="s">
        <v>17</v>
      </c>
      <c r="D160" s="38" t="s">
        <v>398</v>
      </c>
      <c r="E160" s="38" t="s">
        <v>23</v>
      </c>
      <c r="F160" s="38"/>
      <c r="G160" s="168">
        <f>G161</f>
        <v>46028.93</v>
      </c>
      <c r="H160" s="168">
        <f t="shared" si="56"/>
        <v>36762.130000000005</v>
      </c>
      <c r="I160" s="168">
        <f t="shared" si="56"/>
        <v>36762.130000000005</v>
      </c>
    </row>
    <row r="161" spans="1:9" ht="78">
      <c r="A161" s="312">
        <v>136</v>
      </c>
      <c r="B161" s="257" t="s">
        <v>46</v>
      </c>
      <c r="C161" s="48" t="s">
        <v>17</v>
      </c>
      <c r="D161" s="38" t="s">
        <v>398</v>
      </c>
      <c r="E161" s="38" t="s">
        <v>47</v>
      </c>
      <c r="F161" s="38"/>
      <c r="G161" s="168">
        <f>G162+G165</f>
        <v>46028.93</v>
      </c>
      <c r="H161" s="168">
        <f>H162+H165</f>
        <v>36762.130000000005</v>
      </c>
      <c r="I161" s="168">
        <f>I162+I165</f>
        <v>36762.130000000005</v>
      </c>
    </row>
    <row r="162" spans="1:9" ht="78">
      <c r="A162" s="312">
        <v>137</v>
      </c>
      <c r="B162" s="257" t="s">
        <v>48</v>
      </c>
      <c r="C162" s="48" t="s">
        <v>17</v>
      </c>
      <c r="D162" s="38" t="s">
        <v>398</v>
      </c>
      <c r="E162" s="38" t="s">
        <v>49</v>
      </c>
      <c r="F162" s="38"/>
      <c r="G162" s="168">
        <f>G163</f>
        <v>18059.8</v>
      </c>
      <c r="H162" s="168">
        <f aca="true" t="shared" si="57" ref="H162:I162">H163</f>
        <v>8793</v>
      </c>
      <c r="I162" s="168">
        <f t="shared" si="57"/>
        <v>8793</v>
      </c>
    </row>
    <row r="163" spans="1:9" ht="15">
      <c r="A163" s="312">
        <v>138</v>
      </c>
      <c r="B163" s="256" t="s">
        <v>30</v>
      </c>
      <c r="C163" s="48" t="s">
        <v>17</v>
      </c>
      <c r="D163" s="38" t="s">
        <v>398</v>
      </c>
      <c r="E163" s="38" t="s">
        <v>49</v>
      </c>
      <c r="F163" s="38">
        <v>500</v>
      </c>
      <c r="G163" s="168">
        <f>G164</f>
        <v>18059.8</v>
      </c>
      <c r="H163" s="168">
        <f aca="true" t="shared" si="58" ref="H163:I163">H164</f>
        <v>8793</v>
      </c>
      <c r="I163" s="168">
        <f t="shared" si="58"/>
        <v>8793</v>
      </c>
    </row>
    <row r="164" spans="1:9" ht="15">
      <c r="A164" s="312">
        <v>139</v>
      </c>
      <c r="B164" s="256" t="s">
        <v>50</v>
      </c>
      <c r="C164" s="48" t="s">
        <v>17</v>
      </c>
      <c r="D164" s="38" t="s">
        <v>398</v>
      </c>
      <c r="E164" s="38" t="s">
        <v>49</v>
      </c>
      <c r="F164" s="38">
        <v>510</v>
      </c>
      <c r="G164" s="168">
        <v>18059.8</v>
      </c>
      <c r="H164" s="168">
        <v>8793</v>
      </c>
      <c r="I164" s="168">
        <v>8793</v>
      </c>
    </row>
    <row r="165" spans="1:9" ht="78">
      <c r="A165" s="312">
        <v>140</v>
      </c>
      <c r="B165" s="257" t="s">
        <v>51</v>
      </c>
      <c r="C165" s="48" t="s">
        <v>17</v>
      </c>
      <c r="D165" s="38" t="s">
        <v>398</v>
      </c>
      <c r="E165" s="38" t="s">
        <v>52</v>
      </c>
      <c r="F165" s="38"/>
      <c r="G165" s="168">
        <f>G166</f>
        <v>27969.13</v>
      </c>
      <c r="H165" s="168">
        <f aca="true" t="shared" si="59" ref="H165:I166">H166</f>
        <v>27969.13</v>
      </c>
      <c r="I165" s="168">
        <f t="shared" si="59"/>
        <v>27969.13</v>
      </c>
    </row>
    <row r="166" spans="1:9" ht="15">
      <c r="A166" s="312">
        <v>141</v>
      </c>
      <c r="B166" s="256" t="s">
        <v>30</v>
      </c>
      <c r="C166" s="48" t="s">
        <v>17</v>
      </c>
      <c r="D166" s="38" t="s">
        <v>398</v>
      </c>
      <c r="E166" s="38" t="s">
        <v>52</v>
      </c>
      <c r="F166" s="38">
        <v>500</v>
      </c>
      <c r="G166" s="168">
        <f>G167</f>
        <v>27969.13</v>
      </c>
      <c r="H166" s="168">
        <f t="shared" si="59"/>
        <v>27969.13</v>
      </c>
      <c r="I166" s="168">
        <f t="shared" si="59"/>
        <v>27969.13</v>
      </c>
    </row>
    <row r="167" spans="1:9" ht="15">
      <c r="A167" s="312">
        <v>142</v>
      </c>
      <c r="B167" s="256" t="s">
        <v>50</v>
      </c>
      <c r="C167" s="48" t="s">
        <v>17</v>
      </c>
      <c r="D167" s="38" t="s">
        <v>398</v>
      </c>
      <c r="E167" s="38" t="s">
        <v>52</v>
      </c>
      <c r="F167" s="38">
        <v>510</v>
      </c>
      <c r="G167" s="168">
        <v>27969.13</v>
      </c>
      <c r="H167" s="168">
        <v>27969.13</v>
      </c>
      <c r="I167" s="168">
        <v>27969.13</v>
      </c>
    </row>
    <row r="168" spans="1:9" ht="31.2">
      <c r="A168" s="312">
        <v>143</v>
      </c>
      <c r="B168" s="256" t="s">
        <v>53</v>
      </c>
      <c r="C168" s="48" t="s">
        <v>17</v>
      </c>
      <c r="D168" s="38" t="s">
        <v>399</v>
      </c>
      <c r="E168" s="38"/>
      <c r="F168" s="38"/>
      <c r="G168" s="168">
        <f>G169+G174</f>
        <v>48660.78</v>
      </c>
      <c r="H168" s="168">
        <f aca="true" t="shared" si="60" ref="H168:I169">H169</f>
        <v>30569.31</v>
      </c>
      <c r="I168" s="168">
        <f t="shared" si="60"/>
        <v>30569.31</v>
      </c>
    </row>
    <row r="169" spans="1:9" ht="46.8">
      <c r="A169" s="312">
        <v>144</v>
      </c>
      <c r="B169" s="257" t="s">
        <v>45</v>
      </c>
      <c r="C169" s="48" t="s">
        <v>17</v>
      </c>
      <c r="D169" s="38" t="s">
        <v>399</v>
      </c>
      <c r="E169" s="38" t="s">
        <v>23</v>
      </c>
      <c r="F169" s="38"/>
      <c r="G169" s="168">
        <f>G170</f>
        <v>47562.939999999995</v>
      </c>
      <c r="H169" s="168">
        <f t="shared" si="60"/>
        <v>30569.31</v>
      </c>
      <c r="I169" s="168">
        <f t="shared" si="60"/>
        <v>30569.31</v>
      </c>
    </row>
    <row r="170" spans="1:9" ht="78">
      <c r="A170" s="312">
        <v>145</v>
      </c>
      <c r="B170" s="257" t="s">
        <v>46</v>
      </c>
      <c r="C170" s="48" t="s">
        <v>17</v>
      </c>
      <c r="D170" s="38" t="s">
        <v>399</v>
      </c>
      <c r="E170" s="38" t="s">
        <v>47</v>
      </c>
      <c r="F170" s="38"/>
      <c r="G170" s="168">
        <f>G171</f>
        <v>47562.939999999995</v>
      </c>
      <c r="H170" s="168">
        <f aca="true" t="shared" si="61" ref="H170:I170">H171</f>
        <v>30569.31</v>
      </c>
      <c r="I170" s="168">
        <f t="shared" si="61"/>
        <v>30569.31</v>
      </c>
    </row>
    <row r="171" spans="1:9" ht="46.8">
      <c r="A171" s="312">
        <v>146</v>
      </c>
      <c r="B171" s="257" t="s">
        <v>54</v>
      </c>
      <c r="C171" s="48" t="s">
        <v>17</v>
      </c>
      <c r="D171" s="38" t="s">
        <v>399</v>
      </c>
      <c r="E171" s="38" t="s">
        <v>55</v>
      </c>
      <c r="F171" s="38"/>
      <c r="G171" s="168">
        <f>G172</f>
        <v>47562.939999999995</v>
      </c>
      <c r="H171" s="168">
        <f aca="true" t="shared" si="62" ref="H171:I171">H172</f>
        <v>30569.31</v>
      </c>
      <c r="I171" s="168">
        <f t="shared" si="62"/>
        <v>30569.31</v>
      </c>
    </row>
    <row r="172" spans="1:9" ht="15">
      <c r="A172" s="312">
        <v>147</v>
      </c>
      <c r="B172" s="256" t="s">
        <v>30</v>
      </c>
      <c r="C172" s="48" t="s">
        <v>17</v>
      </c>
      <c r="D172" s="38" t="s">
        <v>399</v>
      </c>
      <c r="E172" s="38" t="s">
        <v>55</v>
      </c>
      <c r="F172" s="38">
        <v>500</v>
      </c>
      <c r="G172" s="168">
        <f>G173</f>
        <v>47562.939999999995</v>
      </c>
      <c r="H172" s="168">
        <f aca="true" t="shared" si="63" ref="H172:I172">H173</f>
        <v>30569.31</v>
      </c>
      <c r="I172" s="168">
        <f t="shared" si="63"/>
        <v>30569.31</v>
      </c>
    </row>
    <row r="173" spans="1:9" ht="15">
      <c r="A173" s="312">
        <v>148</v>
      </c>
      <c r="B173" s="256" t="s">
        <v>42</v>
      </c>
      <c r="C173" s="48" t="s">
        <v>17</v>
      </c>
      <c r="D173" s="38" t="s">
        <v>399</v>
      </c>
      <c r="E173" s="38" t="s">
        <v>55</v>
      </c>
      <c r="F173" s="38">
        <v>540</v>
      </c>
      <c r="G173" s="168">
        <f>30569.31+4000+5434.45+4335.18+200+98+45+298+413+1460+163+397+150</f>
        <v>47562.939999999995</v>
      </c>
      <c r="H173" s="168">
        <v>30569.31</v>
      </c>
      <c r="I173" s="168">
        <v>30569.31</v>
      </c>
    </row>
    <row r="174" spans="1:9" ht="31.2">
      <c r="A174" s="312">
        <v>149</v>
      </c>
      <c r="B174" s="255" t="s">
        <v>28</v>
      </c>
      <c r="C174" s="48" t="s">
        <v>17</v>
      </c>
      <c r="D174" s="48" t="s">
        <v>399</v>
      </c>
      <c r="E174" s="38">
        <v>9170000000</v>
      </c>
      <c r="F174" s="38"/>
      <c r="G174" s="168">
        <f>G175</f>
        <v>1097.8400000000001</v>
      </c>
      <c r="H174" s="168">
        <f aca="true" t="shared" si="64" ref="H174:I176">H175</f>
        <v>0</v>
      </c>
      <c r="I174" s="168">
        <f t="shared" si="64"/>
        <v>0</v>
      </c>
    </row>
    <row r="175" spans="1:9" ht="109.2">
      <c r="A175" s="312">
        <v>150</v>
      </c>
      <c r="B175" s="304" t="s">
        <v>576</v>
      </c>
      <c r="C175" s="48"/>
      <c r="D175" s="38"/>
      <c r="E175" s="38">
        <v>9170010210</v>
      </c>
      <c r="F175" s="38"/>
      <c r="G175" s="168">
        <f>G176</f>
        <v>1097.8400000000001</v>
      </c>
      <c r="H175" s="168">
        <f t="shared" si="64"/>
        <v>0</v>
      </c>
      <c r="I175" s="168">
        <f t="shared" si="64"/>
        <v>0</v>
      </c>
    </row>
    <row r="176" spans="1:9" ht="15">
      <c r="A176" s="312">
        <v>151</v>
      </c>
      <c r="B176" s="256" t="s">
        <v>30</v>
      </c>
      <c r="C176" s="48" t="s">
        <v>17</v>
      </c>
      <c r="D176" s="38" t="s">
        <v>399</v>
      </c>
      <c r="E176" s="38">
        <v>9170010210</v>
      </c>
      <c r="F176" s="38">
        <v>500</v>
      </c>
      <c r="G176" s="168">
        <f>G177</f>
        <v>1097.8400000000001</v>
      </c>
      <c r="H176" s="168">
        <f t="shared" si="64"/>
        <v>0</v>
      </c>
      <c r="I176" s="168">
        <f t="shared" si="64"/>
        <v>0</v>
      </c>
    </row>
    <row r="177" spans="1:12" ht="15">
      <c r="A177" s="312">
        <v>152</v>
      </c>
      <c r="B177" s="256" t="s">
        <v>42</v>
      </c>
      <c r="C177" s="48" t="s">
        <v>17</v>
      </c>
      <c r="D177" s="38" t="s">
        <v>399</v>
      </c>
      <c r="E177" s="38">
        <v>9170010210</v>
      </c>
      <c r="F177" s="38">
        <v>540</v>
      </c>
      <c r="G177" s="168">
        <f>997.84+100</f>
        <v>1097.8400000000001</v>
      </c>
      <c r="H177" s="168">
        <v>0</v>
      </c>
      <c r="I177" s="168">
        <v>0</v>
      </c>
      <c r="J177" s="235"/>
      <c r="L177" s="162">
        <v>100</v>
      </c>
    </row>
    <row r="178" spans="1:9" ht="15">
      <c r="A178" s="312">
        <v>153</v>
      </c>
      <c r="B178" s="261" t="s">
        <v>57</v>
      </c>
      <c r="C178" s="261" t="s">
        <v>58</v>
      </c>
      <c r="D178" s="261"/>
      <c r="E178" s="261"/>
      <c r="F178" s="261"/>
      <c r="G178" s="262">
        <f>G179+G235+G298+G308+G317</f>
        <v>128849.98</v>
      </c>
      <c r="H178" s="262">
        <f>H179+H235+H298+H308+H317</f>
        <v>106160.38000000002</v>
      </c>
      <c r="I178" s="262">
        <f>I179+I235+I298+I308+I317</f>
        <v>94160.38</v>
      </c>
    </row>
    <row r="179" spans="1:9" ht="15">
      <c r="A179" s="312">
        <v>154</v>
      </c>
      <c r="B179" s="254" t="s">
        <v>56</v>
      </c>
      <c r="C179" s="38" t="s">
        <v>58</v>
      </c>
      <c r="D179" s="38" t="s">
        <v>59</v>
      </c>
      <c r="E179" s="38"/>
      <c r="F179" s="38"/>
      <c r="G179" s="168">
        <f>G180+G184+G200+G205</f>
        <v>46811.92</v>
      </c>
      <c r="H179" s="168">
        <f aca="true" t="shared" si="65" ref="H179:I179">H180+H184+H200+H205</f>
        <v>39741.58</v>
      </c>
      <c r="I179" s="168">
        <f t="shared" si="65"/>
        <v>27741.579999999998</v>
      </c>
    </row>
    <row r="180" spans="1:9" ht="46.8">
      <c r="A180" s="312">
        <v>155</v>
      </c>
      <c r="B180" s="256" t="s">
        <v>236</v>
      </c>
      <c r="C180" s="38" t="s">
        <v>58</v>
      </c>
      <c r="D180" s="38" t="s">
        <v>400</v>
      </c>
      <c r="E180" s="38"/>
      <c r="F180" s="38"/>
      <c r="G180" s="168">
        <f>G181</f>
        <v>1105.63</v>
      </c>
      <c r="H180" s="168">
        <f aca="true" t="shared" si="66" ref="H180:I180">H181</f>
        <v>1105.63</v>
      </c>
      <c r="I180" s="168">
        <f t="shared" si="66"/>
        <v>1105.63</v>
      </c>
    </row>
    <row r="181" spans="1:9" ht="15">
      <c r="A181" s="312">
        <v>156</v>
      </c>
      <c r="B181" s="253" t="s">
        <v>298</v>
      </c>
      <c r="C181" s="38" t="s">
        <v>58</v>
      </c>
      <c r="D181" s="38" t="s">
        <v>400</v>
      </c>
      <c r="E181" s="38">
        <v>8510000210</v>
      </c>
      <c r="F181" s="38"/>
      <c r="G181" s="168">
        <f>G182</f>
        <v>1105.63</v>
      </c>
      <c r="H181" s="168">
        <f aca="true" t="shared" si="67" ref="H181:I182">H182</f>
        <v>1105.63</v>
      </c>
      <c r="I181" s="168">
        <f t="shared" si="67"/>
        <v>1105.63</v>
      </c>
    </row>
    <row r="182" spans="1:9" ht="78">
      <c r="A182" s="312">
        <v>157</v>
      </c>
      <c r="B182" s="253" t="s">
        <v>299</v>
      </c>
      <c r="C182" s="38" t="s">
        <v>58</v>
      </c>
      <c r="D182" s="38" t="s">
        <v>400</v>
      </c>
      <c r="E182" s="38">
        <v>8510000210</v>
      </c>
      <c r="F182" s="38">
        <v>100</v>
      </c>
      <c r="G182" s="168">
        <f>G183</f>
        <v>1105.63</v>
      </c>
      <c r="H182" s="168">
        <f t="shared" si="67"/>
        <v>1105.63</v>
      </c>
      <c r="I182" s="168">
        <f t="shared" si="67"/>
        <v>1105.63</v>
      </c>
    </row>
    <row r="183" spans="1:9" ht="31.2">
      <c r="A183" s="312">
        <v>158</v>
      </c>
      <c r="B183" s="9" t="s">
        <v>26</v>
      </c>
      <c r="C183" s="38" t="s">
        <v>58</v>
      </c>
      <c r="D183" s="38" t="s">
        <v>400</v>
      </c>
      <c r="E183" s="38">
        <v>8510000210</v>
      </c>
      <c r="F183" s="38">
        <v>120</v>
      </c>
      <c r="G183" s="168">
        <v>1105.63</v>
      </c>
      <c r="H183" s="168">
        <v>1105.63</v>
      </c>
      <c r="I183" s="168">
        <v>1105.63</v>
      </c>
    </row>
    <row r="184" spans="1:9" ht="62.4">
      <c r="A184" s="312">
        <v>159</v>
      </c>
      <c r="B184" s="256" t="s">
        <v>27</v>
      </c>
      <c r="C184" s="38" t="s">
        <v>58</v>
      </c>
      <c r="D184" s="38" t="s">
        <v>388</v>
      </c>
      <c r="E184" s="38"/>
      <c r="F184" s="38"/>
      <c r="G184" s="168">
        <f>G185+G194</f>
        <v>24018.399999999994</v>
      </c>
      <c r="H184" s="168">
        <f>H185+H194</f>
        <v>24939.85</v>
      </c>
      <c r="I184" s="168">
        <f>I185+I194</f>
        <v>24939.85</v>
      </c>
    </row>
    <row r="185" spans="1:9" ht="31.2">
      <c r="A185" s="312">
        <v>160</v>
      </c>
      <c r="B185" s="253" t="s">
        <v>60</v>
      </c>
      <c r="C185" s="38" t="s">
        <v>58</v>
      </c>
      <c r="D185" s="38" t="s">
        <v>388</v>
      </c>
      <c r="E185" s="38" t="s">
        <v>61</v>
      </c>
      <c r="F185" s="38"/>
      <c r="G185" s="168">
        <f>G186</f>
        <v>23497.899999999994</v>
      </c>
      <c r="H185" s="168">
        <f aca="true" t="shared" si="68" ref="H185:I185">H186</f>
        <v>24419.35</v>
      </c>
      <c r="I185" s="168">
        <f t="shared" si="68"/>
        <v>24419.35</v>
      </c>
    </row>
    <row r="186" spans="1:9" ht="46.8">
      <c r="A186" s="312">
        <v>161</v>
      </c>
      <c r="B186" s="253" t="s">
        <v>469</v>
      </c>
      <c r="C186" s="38" t="s">
        <v>58</v>
      </c>
      <c r="D186" s="38" t="s">
        <v>388</v>
      </c>
      <c r="E186" s="38" t="s">
        <v>62</v>
      </c>
      <c r="F186" s="38"/>
      <c r="G186" s="168">
        <f>G187</f>
        <v>23497.899999999994</v>
      </c>
      <c r="H186" s="168">
        <f aca="true" t="shared" si="69" ref="H186:I186">H187</f>
        <v>24419.35</v>
      </c>
      <c r="I186" s="168">
        <f t="shared" si="69"/>
        <v>24419.35</v>
      </c>
    </row>
    <row r="187" spans="1:9" ht="78">
      <c r="A187" s="312">
        <v>162</v>
      </c>
      <c r="B187" s="289" t="s">
        <v>63</v>
      </c>
      <c r="C187" s="38" t="s">
        <v>58</v>
      </c>
      <c r="D187" s="38" t="s">
        <v>388</v>
      </c>
      <c r="E187" s="38" t="s">
        <v>64</v>
      </c>
      <c r="F187" s="38"/>
      <c r="G187" s="168">
        <f>G188+G190+G192</f>
        <v>23497.899999999994</v>
      </c>
      <c r="H187" s="168">
        <f>H188+H190+H192</f>
        <v>24419.35</v>
      </c>
      <c r="I187" s="168">
        <f>I188+I190+I192</f>
        <v>24419.35</v>
      </c>
    </row>
    <row r="188" spans="1:9" ht="78">
      <c r="A188" s="312">
        <v>163</v>
      </c>
      <c r="B188" s="256" t="s">
        <v>25</v>
      </c>
      <c r="C188" s="38" t="s">
        <v>58</v>
      </c>
      <c r="D188" s="38" t="s">
        <v>388</v>
      </c>
      <c r="E188" s="38" t="s">
        <v>64</v>
      </c>
      <c r="F188" s="38">
        <v>100</v>
      </c>
      <c r="G188" s="168">
        <f>G189</f>
        <v>14834.199999999999</v>
      </c>
      <c r="H188" s="168">
        <f aca="true" t="shared" si="70" ref="H188:I188">H189</f>
        <v>14369.63</v>
      </c>
      <c r="I188" s="168">
        <f t="shared" si="70"/>
        <v>14369.63</v>
      </c>
    </row>
    <row r="189" spans="1:12" ht="31.2">
      <c r="A189" s="312">
        <v>164</v>
      </c>
      <c r="B189" s="292" t="s">
        <v>26</v>
      </c>
      <c r="C189" s="38" t="s">
        <v>58</v>
      </c>
      <c r="D189" s="38" t="s">
        <v>388</v>
      </c>
      <c r="E189" s="38" t="s">
        <v>64</v>
      </c>
      <c r="F189" s="38">
        <v>120</v>
      </c>
      <c r="G189" s="168">
        <f>14369.63+45.49+774.08-345+270-280</f>
        <v>14834.199999999999</v>
      </c>
      <c r="H189" s="168">
        <v>14369.63</v>
      </c>
      <c r="I189" s="168">
        <v>14369.63</v>
      </c>
      <c r="L189" s="272">
        <v>-280</v>
      </c>
    </row>
    <row r="190" spans="1:9" ht="31.2">
      <c r="A190" s="312">
        <v>165</v>
      </c>
      <c r="B190" s="256" t="s">
        <v>32</v>
      </c>
      <c r="C190" s="38" t="s">
        <v>58</v>
      </c>
      <c r="D190" s="38" t="s">
        <v>388</v>
      </c>
      <c r="E190" s="38" t="s">
        <v>64</v>
      </c>
      <c r="F190" s="38">
        <v>200</v>
      </c>
      <c r="G190" s="168">
        <f>G191</f>
        <v>8250.369999999997</v>
      </c>
      <c r="H190" s="168">
        <f aca="true" t="shared" si="71" ref="H190:I190">H191</f>
        <v>9849.72</v>
      </c>
      <c r="I190" s="168">
        <f t="shared" si="71"/>
        <v>9849.72</v>
      </c>
    </row>
    <row r="191" spans="1:12" ht="46.8">
      <c r="A191" s="312">
        <v>166</v>
      </c>
      <c r="B191" s="256" t="s">
        <v>33</v>
      </c>
      <c r="C191" s="38" t="s">
        <v>58</v>
      </c>
      <c r="D191" s="38" t="s">
        <v>388</v>
      </c>
      <c r="E191" s="38" t="s">
        <v>64</v>
      </c>
      <c r="F191" s="38">
        <v>240</v>
      </c>
      <c r="G191" s="168">
        <f>9849.72-1000+36.64-157.29-478.7</f>
        <v>8250.369999999997</v>
      </c>
      <c r="H191" s="168">
        <v>9849.72</v>
      </c>
      <c r="I191" s="168">
        <v>9849.72</v>
      </c>
      <c r="J191" s="162">
        <v>-157.29</v>
      </c>
      <c r="L191" s="272">
        <v>-478.7</v>
      </c>
    </row>
    <row r="192" spans="1:9" ht="15">
      <c r="A192" s="312">
        <v>167</v>
      </c>
      <c r="B192" s="256" t="s">
        <v>67</v>
      </c>
      <c r="C192" s="38" t="s">
        <v>58</v>
      </c>
      <c r="D192" s="38" t="s">
        <v>388</v>
      </c>
      <c r="E192" s="38" t="s">
        <v>64</v>
      </c>
      <c r="F192" s="38">
        <v>800</v>
      </c>
      <c r="G192" s="168">
        <f>G193</f>
        <v>413.3299999999999</v>
      </c>
      <c r="H192" s="168">
        <f aca="true" t="shared" si="72" ref="H192:I192">H193</f>
        <v>200</v>
      </c>
      <c r="I192" s="168">
        <f t="shared" si="72"/>
        <v>200</v>
      </c>
    </row>
    <row r="193" spans="1:10" ht="15">
      <c r="A193" s="312">
        <v>168</v>
      </c>
      <c r="B193" s="256" t="s">
        <v>221</v>
      </c>
      <c r="C193" s="38" t="s">
        <v>58</v>
      </c>
      <c r="D193" s="38" t="s">
        <v>388</v>
      </c>
      <c r="E193" s="38" t="s">
        <v>64</v>
      </c>
      <c r="F193" s="38">
        <v>850</v>
      </c>
      <c r="G193" s="168">
        <f>200+1.04+55+157.29</f>
        <v>413.3299999999999</v>
      </c>
      <c r="H193" s="168">
        <v>200</v>
      </c>
      <c r="I193" s="168">
        <v>200</v>
      </c>
      <c r="J193" s="162">
        <v>157.29</v>
      </c>
    </row>
    <row r="194" spans="1:9" ht="31.2">
      <c r="A194" s="312">
        <v>169</v>
      </c>
      <c r="B194" s="253" t="s">
        <v>28</v>
      </c>
      <c r="C194" s="38" t="s">
        <v>58</v>
      </c>
      <c r="D194" s="38" t="s">
        <v>388</v>
      </c>
      <c r="E194" s="38">
        <v>9170000000</v>
      </c>
      <c r="F194" s="38"/>
      <c r="G194" s="168">
        <f>G195</f>
        <v>520.5</v>
      </c>
      <c r="H194" s="168">
        <f aca="true" t="shared" si="73" ref="H194:I194">H195</f>
        <v>520.5</v>
      </c>
      <c r="I194" s="168">
        <f t="shared" si="73"/>
        <v>520.5</v>
      </c>
    </row>
    <row r="195" spans="1:9" ht="62.4">
      <c r="A195" s="312">
        <v>170</v>
      </c>
      <c r="B195" s="253" t="s">
        <v>65</v>
      </c>
      <c r="C195" s="38" t="s">
        <v>58</v>
      </c>
      <c r="D195" s="38" t="s">
        <v>388</v>
      </c>
      <c r="E195" s="38">
        <v>9170076040</v>
      </c>
      <c r="F195" s="38"/>
      <c r="G195" s="168">
        <f>G196+G198</f>
        <v>520.5</v>
      </c>
      <c r="H195" s="168">
        <f>H196+H198</f>
        <v>520.5</v>
      </c>
      <c r="I195" s="168">
        <f>I196+I198</f>
        <v>520.5</v>
      </c>
    </row>
    <row r="196" spans="1:9" ht="78">
      <c r="A196" s="312">
        <v>171</v>
      </c>
      <c r="B196" s="256" t="s">
        <v>25</v>
      </c>
      <c r="C196" s="38" t="s">
        <v>58</v>
      </c>
      <c r="D196" s="38" t="s">
        <v>388</v>
      </c>
      <c r="E196" s="38">
        <v>9170076040</v>
      </c>
      <c r="F196" s="38">
        <v>100</v>
      </c>
      <c r="G196" s="168">
        <f>G197</f>
        <v>469.05</v>
      </c>
      <c r="H196" s="168">
        <f aca="true" t="shared" si="74" ref="H196:I196">H197</f>
        <v>469.05</v>
      </c>
      <c r="I196" s="168">
        <f t="shared" si="74"/>
        <v>469.05</v>
      </c>
    </row>
    <row r="197" spans="1:9" ht="31.2">
      <c r="A197" s="312">
        <v>172</v>
      </c>
      <c r="B197" s="256" t="s">
        <v>26</v>
      </c>
      <c r="C197" s="38" t="s">
        <v>58</v>
      </c>
      <c r="D197" s="38" t="s">
        <v>388</v>
      </c>
      <c r="E197" s="38">
        <v>9170076040</v>
      </c>
      <c r="F197" s="38">
        <v>120</v>
      </c>
      <c r="G197" s="168">
        <v>469.05</v>
      </c>
      <c r="H197" s="168">
        <v>469.05</v>
      </c>
      <c r="I197" s="168">
        <v>469.05</v>
      </c>
    </row>
    <row r="198" spans="1:9" ht="31.2">
      <c r="A198" s="312">
        <v>173</v>
      </c>
      <c r="B198" s="256" t="s">
        <v>32</v>
      </c>
      <c r="C198" s="38" t="s">
        <v>58</v>
      </c>
      <c r="D198" s="38" t="s">
        <v>388</v>
      </c>
      <c r="E198" s="38">
        <v>9170076040</v>
      </c>
      <c r="F198" s="38">
        <v>200</v>
      </c>
      <c r="G198" s="168">
        <f>G199</f>
        <v>51.45</v>
      </c>
      <c r="H198" s="168">
        <f aca="true" t="shared" si="75" ref="H198:I198">H199</f>
        <v>51.45</v>
      </c>
      <c r="I198" s="168">
        <f t="shared" si="75"/>
        <v>51.45</v>
      </c>
    </row>
    <row r="199" spans="1:9" ht="46.8">
      <c r="A199" s="312">
        <v>174</v>
      </c>
      <c r="B199" s="256" t="s">
        <v>33</v>
      </c>
      <c r="C199" s="38" t="s">
        <v>58</v>
      </c>
      <c r="D199" s="38" t="s">
        <v>388</v>
      </c>
      <c r="E199" s="38">
        <v>9170076040</v>
      </c>
      <c r="F199" s="38">
        <v>240</v>
      </c>
      <c r="G199" s="168">
        <v>51.45</v>
      </c>
      <c r="H199" s="168">
        <v>51.45</v>
      </c>
      <c r="I199" s="168">
        <v>51.45</v>
      </c>
    </row>
    <row r="200" spans="1:9" ht="15">
      <c r="A200" s="312">
        <v>175</v>
      </c>
      <c r="B200" s="256" t="s">
        <v>66</v>
      </c>
      <c r="C200" s="38" t="s">
        <v>58</v>
      </c>
      <c r="D200" s="38" t="s">
        <v>401</v>
      </c>
      <c r="E200" s="38"/>
      <c r="F200" s="38"/>
      <c r="G200" s="168">
        <f>G201</f>
        <v>339.29</v>
      </c>
      <c r="H200" s="168">
        <f aca="true" t="shared" si="76" ref="H200:I202">H201</f>
        <v>350</v>
      </c>
      <c r="I200" s="168">
        <f t="shared" si="76"/>
        <v>350</v>
      </c>
    </row>
    <row r="201" spans="1:9" ht="31.2">
      <c r="A201" s="312">
        <v>176</v>
      </c>
      <c r="B201" s="256" t="s">
        <v>36</v>
      </c>
      <c r="C201" s="38" t="s">
        <v>58</v>
      </c>
      <c r="D201" s="38" t="s">
        <v>401</v>
      </c>
      <c r="E201" s="38">
        <v>9170000000</v>
      </c>
      <c r="F201" s="38"/>
      <c r="G201" s="168">
        <f>G202</f>
        <v>339.29</v>
      </c>
      <c r="H201" s="168">
        <f t="shared" si="76"/>
        <v>350</v>
      </c>
      <c r="I201" s="168">
        <f t="shared" si="76"/>
        <v>350</v>
      </c>
    </row>
    <row r="202" spans="1:9" ht="15">
      <c r="A202" s="312">
        <v>177</v>
      </c>
      <c r="B202" s="263" t="s">
        <v>69</v>
      </c>
      <c r="C202" s="38" t="s">
        <v>58</v>
      </c>
      <c r="D202" s="38" t="s">
        <v>401</v>
      </c>
      <c r="E202" s="38">
        <v>9170010110</v>
      </c>
      <c r="F202" s="38"/>
      <c r="G202" s="168">
        <f>G203</f>
        <v>339.29</v>
      </c>
      <c r="H202" s="168">
        <f t="shared" si="76"/>
        <v>350</v>
      </c>
      <c r="I202" s="168">
        <f t="shared" si="76"/>
        <v>350</v>
      </c>
    </row>
    <row r="203" spans="1:9" ht="15">
      <c r="A203" s="312">
        <v>178</v>
      </c>
      <c r="B203" s="256" t="s">
        <v>67</v>
      </c>
      <c r="C203" s="38" t="s">
        <v>58</v>
      </c>
      <c r="D203" s="38" t="s">
        <v>401</v>
      </c>
      <c r="E203" s="38">
        <v>9170010110</v>
      </c>
      <c r="F203" s="38">
        <v>800</v>
      </c>
      <c r="G203" s="168">
        <f>G204</f>
        <v>339.29</v>
      </c>
      <c r="H203" s="168">
        <f aca="true" t="shared" si="77" ref="H203:I203">H204</f>
        <v>350</v>
      </c>
      <c r="I203" s="168">
        <f t="shared" si="77"/>
        <v>350</v>
      </c>
    </row>
    <row r="204" spans="1:9" ht="15">
      <c r="A204" s="312">
        <v>179</v>
      </c>
      <c r="B204" s="256" t="s">
        <v>68</v>
      </c>
      <c r="C204" s="38" t="s">
        <v>58</v>
      </c>
      <c r="D204" s="38" t="s">
        <v>401</v>
      </c>
      <c r="E204" s="38">
        <v>9170010110</v>
      </c>
      <c r="F204" s="38">
        <v>870</v>
      </c>
      <c r="G204" s="168">
        <f>350-10.71</f>
        <v>339.29</v>
      </c>
      <c r="H204" s="168">
        <v>350</v>
      </c>
      <c r="I204" s="168">
        <v>350</v>
      </c>
    </row>
    <row r="205" spans="1:9" ht="15">
      <c r="A205" s="312">
        <v>180</v>
      </c>
      <c r="B205" s="256" t="s">
        <v>70</v>
      </c>
      <c r="C205" s="38" t="s">
        <v>58</v>
      </c>
      <c r="D205" s="38" t="s">
        <v>186</v>
      </c>
      <c r="E205" s="38"/>
      <c r="F205" s="38"/>
      <c r="G205" s="168">
        <f>G206+G223</f>
        <v>21348.600000000002</v>
      </c>
      <c r="H205" s="168">
        <f>H206+H223</f>
        <v>13346.1</v>
      </c>
      <c r="I205" s="168">
        <f>I206+I223</f>
        <v>1346.1</v>
      </c>
    </row>
    <row r="206" spans="1:9" ht="31.2">
      <c r="A206" s="312">
        <v>181</v>
      </c>
      <c r="B206" s="256" t="s">
        <v>36</v>
      </c>
      <c r="C206" s="38" t="s">
        <v>58</v>
      </c>
      <c r="D206" s="38" t="s">
        <v>186</v>
      </c>
      <c r="E206" s="38">
        <v>9170000000</v>
      </c>
      <c r="F206" s="38"/>
      <c r="G206" s="168">
        <f>G207+G210+G215+G220</f>
        <v>4858.400000000001</v>
      </c>
      <c r="H206" s="168">
        <f aca="true" t="shared" si="78" ref="H206:I206">H207+H210+H215+H220</f>
        <v>834.6</v>
      </c>
      <c r="I206" s="168">
        <f t="shared" si="78"/>
        <v>834.6</v>
      </c>
    </row>
    <row r="207" spans="1:9" ht="171.6">
      <c r="A207" s="312">
        <v>182</v>
      </c>
      <c r="B207" s="256" t="s">
        <v>441</v>
      </c>
      <c r="C207" s="38" t="s">
        <v>58</v>
      </c>
      <c r="D207" s="38" t="s">
        <v>186</v>
      </c>
      <c r="E207" s="38">
        <v>9170074160</v>
      </c>
      <c r="F207" s="38"/>
      <c r="G207" s="168">
        <f>G208</f>
        <v>4278.2</v>
      </c>
      <c r="H207" s="168">
        <f aca="true" t="shared" si="79" ref="H207:I208">H208</f>
        <v>0</v>
      </c>
      <c r="I207" s="168">
        <f t="shared" si="79"/>
        <v>0</v>
      </c>
    </row>
    <row r="208" spans="1:9" ht="31.2">
      <c r="A208" s="312">
        <v>183</v>
      </c>
      <c r="B208" s="255" t="s">
        <v>205</v>
      </c>
      <c r="C208" s="38" t="s">
        <v>58</v>
      </c>
      <c r="D208" s="38" t="s">
        <v>186</v>
      </c>
      <c r="E208" s="38">
        <v>9170074160</v>
      </c>
      <c r="F208" s="38">
        <v>300</v>
      </c>
      <c r="G208" s="168">
        <f>G209</f>
        <v>4278.2</v>
      </c>
      <c r="H208" s="168">
        <f t="shared" si="79"/>
        <v>0</v>
      </c>
      <c r="I208" s="168">
        <f t="shared" si="79"/>
        <v>0</v>
      </c>
    </row>
    <row r="209" spans="1:9" ht="15">
      <c r="A209" s="312">
        <v>184</v>
      </c>
      <c r="B209" s="255" t="s">
        <v>442</v>
      </c>
      <c r="C209" s="38" t="s">
        <v>58</v>
      </c>
      <c r="D209" s="38" t="s">
        <v>186</v>
      </c>
      <c r="E209" s="38">
        <v>9170074160</v>
      </c>
      <c r="F209" s="38">
        <v>360</v>
      </c>
      <c r="G209" s="168">
        <v>4278.2</v>
      </c>
      <c r="H209" s="168">
        <v>0</v>
      </c>
      <c r="I209" s="168">
        <v>0</v>
      </c>
    </row>
    <row r="210" spans="1:9" ht="156">
      <c r="A210" s="312">
        <v>185</v>
      </c>
      <c r="B210" s="255" t="s">
        <v>443</v>
      </c>
      <c r="C210" s="38" t="s">
        <v>58</v>
      </c>
      <c r="D210" s="38" t="s">
        <v>186</v>
      </c>
      <c r="E210" s="38">
        <v>9170074170</v>
      </c>
      <c r="F210" s="38"/>
      <c r="G210" s="168">
        <f>G211+G213</f>
        <v>544.6</v>
      </c>
      <c r="H210" s="168">
        <f aca="true" t="shared" si="80" ref="H210:I210">H211</f>
        <v>0</v>
      </c>
      <c r="I210" s="168">
        <f t="shared" si="80"/>
        <v>0</v>
      </c>
    </row>
    <row r="211" spans="1:9" ht="78">
      <c r="A211" s="312">
        <v>186</v>
      </c>
      <c r="B211" s="256" t="s">
        <v>25</v>
      </c>
      <c r="C211" s="38" t="s">
        <v>58</v>
      </c>
      <c r="D211" s="38" t="s">
        <v>186</v>
      </c>
      <c r="E211" s="38">
        <v>9170074170</v>
      </c>
      <c r="F211" s="38">
        <v>100</v>
      </c>
      <c r="G211" s="168">
        <f>G212</f>
        <v>510.64000000000004</v>
      </c>
      <c r="H211" s="168">
        <f aca="true" t="shared" si="81" ref="H211:I211">H212</f>
        <v>0</v>
      </c>
      <c r="I211" s="168">
        <f t="shared" si="81"/>
        <v>0</v>
      </c>
    </row>
    <row r="212" spans="1:9" ht="31.2">
      <c r="A212" s="312">
        <v>187</v>
      </c>
      <c r="B212" s="256" t="s">
        <v>26</v>
      </c>
      <c r="C212" s="38" t="s">
        <v>58</v>
      </c>
      <c r="D212" s="38" t="s">
        <v>186</v>
      </c>
      <c r="E212" s="38">
        <v>9170074170</v>
      </c>
      <c r="F212" s="38">
        <v>120</v>
      </c>
      <c r="G212" s="168">
        <f>544.6-33.96</f>
        <v>510.64000000000004</v>
      </c>
      <c r="H212" s="168">
        <v>0</v>
      </c>
      <c r="I212" s="168">
        <v>0</v>
      </c>
    </row>
    <row r="213" spans="1:9" ht="31.2">
      <c r="A213" s="312">
        <v>188</v>
      </c>
      <c r="B213" s="256" t="s">
        <v>32</v>
      </c>
      <c r="C213" s="38" t="s">
        <v>58</v>
      </c>
      <c r="D213" s="38" t="s">
        <v>186</v>
      </c>
      <c r="E213" s="38">
        <v>9170074170</v>
      </c>
      <c r="F213" s="38">
        <v>200</v>
      </c>
      <c r="G213" s="168">
        <f>G214</f>
        <v>33.96</v>
      </c>
      <c r="H213" s="168">
        <f aca="true" t="shared" si="82" ref="H213:I213">H214</f>
        <v>0</v>
      </c>
      <c r="I213" s="168">
        <f t="shared" si="82"/>
        <v>0</v>
      </c>
    </row>
    <row r="214" spans="1:9" ht="46.8">
      <c r="A214" s="312">
        <v>189</v>
      </c>
      <c r="B214" s="256" t="s">
        <v>33</v>
      </c>
      <c r="C214" s="38" t="s">
        <v>58</v>
      </c>
      <c r="D214" s="38" t="s">
        <v>186</v>
      </c>
      <c r="E214" s="38">
        <v>9170074170</v>
      </c>
      <c r="F214" s="38">
        <v>240</v>
      </c>
      <c r="G214" s="168">
        <v>33.96</v>
      </c>
      <c r="H214" s="168">
        <v>0</v>
      </c>
      <c r="I214" s="168">
        <v>0</v>
      </c>
    </row>
    <row r="215" spans="1:9" ht="78">
      <c r="A215" s="312">
        <v>190</v>
      </c>
      <c r="B215" s="9" t="s">
        <v>71</v>
      </c>
      <c r="C215" s="38" t="s">
        <v>58</v>
      </c>
      <c r="D215" s="38" t="s">
        <v>186</v>
      </c>
      <c r="E215" s="38">
        <v>9170074290</v>
      </c>
      <c r="F215" s="38"/>
      <c r="G215" s="168">
        <f>G216+G218</f>
        <v>34.6</v>
      </c>
      <c r="H215" s="168">
        <f>H216+H218</f>
        <v>34.6</v>
      </c>
      <c r="I215" s="168">
        <f>I216+I218</f>
        <v>34.6</v>
      </c>
    </row>
    <row r="216" spans="1:9" ht="78">
      <c r="A216" s="312">
        <v>191</v>
      </c>
      <c r="B216" s="256" t="s">
        <v>25</v>
      </c>
      <c r="C216" s="38" t="s">
        <v>58</v>
      </c>
      <c r="D216" s="38" t="s">
        <v>186</v>
      </c>
      <c r="E216" s="38">
        <v>9170074290</v>
      </c>
      <c r="F216" s="38">
        <v>100</v>
      </c>
      <c r="G216" s="168">
        <f>G217</f>
        <v>32.83</v>
      </c>
      <c r="H216" s="168">
        <f aca="true" t="shared" si="83" ref="H216:I216">H217</f>
        <v>32.83</v>
      </c>
      <c r="I216" s="168">
        <f t="shared" si="83"/>
        <v>32.83</v>
      </c>
    </row>
    <row r="217" spans="1:9" ht="31.2">
      <c r="A217" s="312">
        <v>192</v>
      </c>
      <c r="B217" s="256" t="s">
        <v>26</v>
      </c>
      <c r="C217" s="38" t="s">
        <v>58</v>
      </c>
      <c r="D217" s="38" t="s">
        <v>186</v>
      </c>
      <c r="E217" s="38">
        <v>9170074290</v>
      </c>
      <c r="F217" s="38">
        <v>120</v>
      </c>
      <c r="G217" s="168">
        <v>32.83</v>
      </c>
      <c r="H217" s="168">
        <v>32.83</v>
      </c>
      <c r="I217" s="168">
        <v>32.83</v>
      </c>
    </row>
    <row r="218" spans="1:9" ht="31.2">
      <c r="A218" s="312">
        <v>193</v>
      </c>
      <c r="B218" s="256" t="s">
        <v>32</v>
      </c>
      <c r="C218" s="38" t="s">
        <v>58</v>
      </c>
      <c r="D218" s="38" t="s">
        <v>186</v>
      </c>
      <c r="E218" s="38">
        <v>9170074290</v>
      </c>
      <c r="F218" s="38">
        <v>200</v>
      </c>
      <c r="G218" s="168">
        <f>G219</f>
        <v>1.77</v>
      </c>
      <c r="H218" s="168">
        <f aca="true" t="shared" si="84" ref="H218:I218">H219</f>
        <v>1.77</v>
      </c>
      <c r="I218" s="168">
        <f t="shared" si="84"/>
        <v>1.77</v>
      </c>
    </row>
    <row r="219" spans="1:9" ht="46.8">
      <c r="A219" s="312">
        <v>194</v>
      </c>
      <c r="B219" s="256" t="s">
        <v>33</v>
      </c>
      <c r="C219" s="38" t="s">
        <v>58</v>
      </c>
      <c r="D219" s="38" t="s">
        <v>186</v>
      </c>
      <c r="E219" s="38">
        <v>9170074290</v>
      </c>
      <c r="F219" s="38">
        <v>240</v>
      </c>
      <c r="G219" s="168">
        <v>1.77</v>
      </c>
      <c r="H219" s="168">
        <v>1.77</v>
      </c>
      <c r="I219" s="168">
        <v>1.77</v>
      </c>
    </row>
    <row r="220" spans="1:9" ht="93.6">
      <c r="A220" s="312">
        <v>195</v>
      </c>
      <c r="B220" s="289" t="s">
        <v>72</v>
      </c>
      <c r="C220" s="38" t="s">
        <v>58</v>
      </c>
      <c r="D220" s="38" t="s">
        <v>186</v>
      </c>
      <c r="E220" s="38">
        <v>9170092020</v>
      </c>
      <c r="F220" s="38"/>
      <c r="G220" s="168">
        <f>G221</f>
        <v>1.0000000000000284</v>
      </c>
      <c r="H220" s="168">
        <f aca="true" t="shared" si="85" ref="H220:I220">H221</f>
        <v>800</v>
      </c>
      <c r="I220" s="168">
        <f t="shared" si="85"/>
        <v>800</v>
      </c>
    </row>
    <row r="221" spans="1:9" ht="15">
      <c r="A221" s="312">
        <v>196</v>
      </c>
      <c r="B221" s="256" t="s">
        <v>67</v>
      </c>
      <c r="C221" s="38" t="s">
        <v>58</v>
      </c>
      <c r="D221" s="38" t="s">
        <v>186</v>
      </c>
      <c r="E221" s="38">
        <v>9170092020</v>
      </c>
      <c r="F221" s="38">
        <v>800</v>
      </c>
      <c r="G221" s="168">
        <f>G222</f>
        <v>1.0000000000000284</v>
      </c>
      <c r="H221" s="168">
        <f aca="true" t="shared" si="86" ref="H221:I221">H222</f>
        <v>800</v>
      </c>
      <c r="I221" s="168">
        <f t="shared" si="86"/>
        <v>800</v>
      </c>
    </row>
    <row r="222" spans="1:12" ht="15">
      <c r="A222" s="312">
        <v>197</v>
      </c>
      <c r="B222" s="40" t="s">
        <v>73</v>
      </c>
      <c r="C222" s="38" t="s">
        <v>58</v>
      </c>
      <c r="D222" s="38" t="s">
        <v>186</v>
      </c>
      <c r="E222" s="38">
        <v>9170092020</v>
      </c>
      <c r="F222" s="38">
        <v>830</v>
      </c>
      <c r="G222" s="168">
        <f>800-1.04-80.93-585.81-100-31.22</f>
        <v>1.0000000000000284</v>
      </c>
      <c r="H222" s="168">
        <v>800</v>
      </c>
      <c r="I222" s="168">
        <v>800</v>
      </c>
      <c r="L222" s="272">
        <v>-31.22</v>
      </c>
    </row>
    <row r="223" spans="1:9" ht="46.8">
      <c r="A223" s="312">
        <v>198</v>
      </c>
      <c r="B223" s="257" t="s">
        <v>79</v>
      </c>
      <c r="C223" s="38" t="s">
        <v>58</v>
      </c>
      <c r="D223" s="38" t="s">
        <v>186</v>
      </c>
      <c r="E223" s="38"/>
      <c r="F223" s="38"/>
      <c r="G223" s="168">
        <f>G224</f>
        <v>16490.2</v>
      </c>
      <c r="H223" s="168">
        <f aca="true" t="shared" si="87" ref="H223:I223">H224</f>
        <v>12511.5</v>
      </c>
      <c r="I223" s="168">
        <f t="shared" si="87"/>
        <v>511.5</v>
      </c>
    </row>
    <row r="224" spans="1:9" ht="46.8">
      <c r="A224" s="312">
        <v>199</v>
      </c>
      <c r="B224" s="282" t="s">
        <v>285</v>
      </c>
      <c r="C224" s="38" t="s">
        <v>58</v>
      </c>
      <c r="D224" s="38" t="s">
        <v>186</v>
      </c>
      <c r="E224" s="38">
        <v>1200000000</v>
      </c>
      <c r="F224" s="38"/>
      <c r="G224" s="168">
        <f>G225+G229</f>
        <v>16490.2</v>
      </c>
      <c r="H224" s="168">
        <f aca="true" t="shared" si="88" ref="H224:I224">H225+H229</f>
        <v>12511.5</v>
      </c>
      <c r="I224" s="168">
        <f t="shared" si="88"/>
        <v>511.5</v>
      </c>
    </row>
    <row r="225" spans="1:9" ht="78">
      <c r="A225" s="312">
        <v>200</v>
      </c>
      <c r="B225" s="248" t="s">
        <v>289</v>
      </c>
      <c r="C225" s="38" t="s">
        <v>58</v>
      </c>
      <c r="D225" s="38" t="s">
        <v>186</v>
      </c>
      <c r="E225" s="38">
        <v>1240000000</v>
      </c>
      <c r="F225" s="38"/>
      <c r="G225" s="168">
        <f>G226</f>
        <v>16000</v>
      </c>
      <c r="H225" s="168">
        <f aca="true" t="shared" si="89" ref="H225:I227">H226</f>
        <v>12000</v>
      </c>
      <c r="I225" s="168">
        <f t="shared" si="89"/>
        <v>0</v>
      </c>
    </row>
    <row r="226" spans="1:9" ht="31.2">
      <c r="A226" s="312">
        <v>201</v>
      </c>
      <c r="B226" s="248" t="s">
        <v>593</v>
      </c>
      <c r="C226" s="38" t="s">
        <v>58</v>
      </c>
      <c r="D226" s="38" t="s">
        <v>186</v>
      </c>
      <c r="E226" s="38">
        <v>1240082120</v>
      </c>
      <c r="F226" s="38"/>
      <c r="G226" s="168">
        <f>G227</f>
        <v>16000</v>
      </c>
      <c r="H226" s="168">
        <f t="shared" si="89"/>
        <v>12000</v>
      </c>
      <c r="I226" s="168">
        <f t="shared" si="89"/>
        <v>0</v>
      </c>
    </row>
    <row r="227" spans="1:10" ht="31.2">
      <c r="A227" s="312">
        <v>202</v>
      </c>
      <c r="B227" s="283" t="s">
        <v>592</v>
      </c>
      <c r="C227" s="38" t="s">
        <v>58</v>
      </c>
      <c r="D227" s="38" t="s">
        <v>186</v>
      </c>
      <c r="E227" s="38">
        <v>1240082120</v>
      </c>
      <c r="F227" s="38">
        <v>400</v>
      </c>
      <c r="G227" s="168">
        <f>G228</f>
        <v>16000</v>
      </c>
      <c r="H227" s="168">
        <f t="shared" si="89"/>
        <v>12000</v>
      </c>
      <c r="I227" s="168">
        <f t="shared" si="89"/>
        <v>0</v>
      </c>
      <c r="J227" s="235">
        <v>12000</v>
      </c>
    </row>
    <row r="228" spans="1:12" ht="46.8">
      <c r="A228" s="312">
        <v>203</v>
      </c>
      <c r="B228" s="249" t="s">
        <v>33</v>
      </c>
      <c r="C228" s="38" t="s">
        <v>58</v>
      </c>
      <c r="D228" s="38" t="s">
        <v>186</v>
      </c>
      <c r="E228" s="38">
        <v>1240082120</v>
      </c>
      <c r="F228" s="38">
        <v>410</v>
      </c>
      <c r="G228" s="168">
        <f>10000+6000</f>
        <v>16000</v>
      </c>
      <c r="H228" s="168">
        <v>12000</v>
      </c>
      <c r="I228" s="168">
        <v>0</v>
      </c>
      <c r="J228" s="235">
        <v>10000</v>
      </c>
      <c r="L228" s="272">
        <v>6000</v>
      </c>
    </row>
    <row r="229" spans="1:9" ht="15">
      <c r="A229" s="312">
        <v>204</v>
      </c>
      <c r="B229" s="257" t="s">
        <v>80</v>
      </c>
      <c r="C229" s="38" t="s">
        <v>58</v>
      </c>
      <c r="D229" s="38" t="s">
        <v>186</v>
      </c>
      <c r="E229" s="38">
        <v>1290000000</v>
      </c>
      <c r="F229" s="38"/>
      <c r="G229" s="168">
        <f>G230</f>
        <v>490.2</v>
      </c>
      <c r="H229" s="168">
        <f aca="true" t="shared" si="90" ref="H229:I229">H230</f>
        <v>511.5</v>
      </c>
      <c r="I229" s="168">
        <f t="shared" si="90"/>
        <v>511.5</v>
      </c>
    </row>
    <row r="230" spans="1:9" ht="78">
      <c r="A230" s="312">
        <v>205</v>
      </c>
      <c r="B230" s="289" t="s">
        <v>81</v>
      </c>
      <c r="C230" s="38" t="s">
        <v>58</v>
      </c>
      <c r="D230" s="38" t="s">
        <v>186</v>
      </c>
      <c r="E230" s="38">
        <v>1290074670</v>
      </c>
      <c r="F230" s="38"/>
      <c r="G230" s="168">
        <f>G231+G233</f>
        <v>490.2</v>
      </c>
      <c r="H230" s="168">
        <f>H231+H233</f>
        <v>511.5</v>
      </c>
      <c r="I230" s="168">
        <f>I231+I233</f>
        <v>511.5</v>
      </c>
    </row>
    <row r="231" spans="1:9" ht="78">
      <c r="A231" s="312">
        <v>206</v>
      </c>
      <c r="B231" s="256" t="s">
        <v>25</v>
      </c>
      <c r="C231" s="38" t="s">
        <v>58</v>
      </c>
      <c r="D231" s="38" t="s">
        <v>186</v>
      </c>
      <c r="E231" s="38">
        <v>1290074670</v>
      </c>
      <c r="F231" s="38">
        <v>100</v>
      </c>
      <c r="G231" s="168">
        <f>G232</f>
        <v>447.59999999999997</v>
      </c>
      <c r="H231" s="168">
        <f aca="true" t="shared" si="91" ref="H231:I231">H232</f>
        <v>468.9</v>
      </c>
      <c r="I231" s="168">
        <f t="shared" si="91"/>
        <v>468.9</v>
      </c>
    </row>
    <row r="232" spans="1:11" ht="31.2">
      <c r="A232" s="312">
        <v>207</v>
      </c>
      <c r="B232" s="256" t="s">
        <v>26</v>
      </c>
      <c r="C232" s="38" t="s">
        <v>58</v>
      </c>
      <c r="D232" s="38" t="s">
        <v>186</v>
      </c>
      <c r="E232" s="38">
        <v>1290074670</v>
      </c>
      <c r="F232" s="38">
        <v>120</v>
      </c>
      <c r="G232" s="168">
        <f>468.9-21.3</f>
        <v>447.59999999999997</v>
      </c>
      <c r="H232" s="168">
        <v>468.9</v>
      </c>
      <c r="I232" s="168">
        <v>468.9</v>
      </c>
      <c r="K232" s="237">
        <v>-21.3</v>
      </c>
    </row>
    <row r="233" spans="1:9" ht="31.2">
      <c r="A233" s="312">
        <v>208</v>
      </c>
      <c r="B233" s="256" t="s">
        <v>32</v>
      </c>
      <c r="C233" s="38" t="s">
        <v>58</v>
      </c>
      <c r="D233" s="38" t="s">
        <v>186</v>
      </c>
      <c r="E233" s="38">
        <v>1290074670</v>
      </c>
      <c r="F233" s="38">
        <v>200</v>
      </c>
      <c r="G233" s="168">
        <f>G234</f>
        <v>42.6</v>
      </c>
      <c r="H233" s="168">
        <f aca="true" t="shared" si="92" ref="H233:I233">H234</f>
        <v>42.6</v>
      </c>
      <c r="I233" s="168">
        <f t="shared" si="92"/>
        <v>42.6</v>
      </c>
    </row>
    <row r="234" spans="1:9" ht="46.8">
      <c r="A234" s="312">
        <v>209</v>
      </c>
      <c r="B234" s="256" t="s">
        <v>33</v>
      </c>
      <c r="C234" s="38" t="s">
        <v>58</v>
      </c>
      <c r="D234" s="38" t="s">
        <v>186</v>
      </c>
      <c r="E234" s="38">
        <v>1290074670</v>
      </c>
      <c r="F234" s="38">
        <v>240</v>
      </c>
      <c r="G234" s="168">
        <v>42.6</v>
      </c>
      <c r="H234" s="168">
        <v>42.6</v>
      </c>
      <c r="I234" s="168">
        <v>42.6</v>
      </c>
    </row>
    <row r="235" spans="1:9" ht="15">
      <c r="A235" s="312">
        <v>210</v>
      </c>
      <c r="B235" s="263" t="s">
        <v>38</v>
      </c>
      <c r="C235" s="38" t="s">
        <v>58</v>
      </c>
      <c r="D235" s="38" t="s">
        <v>391</v>
      </c>
      <c r="E235" s="38"/>
      <c r="F235" s="38"/>
      <c r="G235" s="168">
        <f>G236+G255+G286+G264+G277</f>
        <v>16293.159999999998</v>
      </c>
      <c r="H235" s="168">
        <f>H236+H255+H286+H264+H277</f>
        <v>10989.9</v>
      </c>
      <c r="I235" s="168">
        <f>I236+I255+I286+I264+I277</f>
        <v>10989.9</v>
      </c>
    </row>
    <row r="236" spans="1:9" ht="15">
      <c r="A236" s="312">
        <v>211</v>
      </c>
      <c r="B236" s="257" t="s">
        <v>83</v>
      </c>
      <c r="C236" s="38" t="s">
        <v>58</v>
      </c>
      <c r="D236" s="38" t="s">
        <v>402</v>
      </c>
      <c r="E236" s="38"/>
      <c r="F236" s="38"/>
      <c r="G236" s="168">
        <f>G237+G244</f>
        <v>546.9</v>
      </c>
      <c r="H236" s="168">
        <f aca="true" t="shared" si="93" ref="H236:I236">H237+H244</f>
        <v>546.9</v>
      </c>
      <c r="I236" s="168">
        <f t="shared" si="93"/>
        <v>546.9</v>
      </c>
    </row>
    <row r="237" spans="1:9" ht="62.4">
      <c r="A237" s="312">
        <v>212</v>
      </c>
      <c r="B237" s="301" t="s">
        <v>84</v>
      </c>
      <c r="C237" s="295" t="s">
        <v>58</v>
      </c>
      <c r="D237" s="295" t="s">
        <v>402</v>
      </c>
      <c r="E237" s="38" t="s">
        <v>85</v>
      </c>
      <c r="F237" s="38"/>
      <c r="G237" s="168">
        <f>G238</f>
        <v>72.82</v>
      </c>
      <c r="H237" s="168">
        <f aca="true" t="shared" si="94" ref="H237:I237">H238</f>
        <v>0</v>
      </c>
      <c r="I237" s="168">
        <f t="shared" si="94"/>
        <v>0</v>
      </c>
    </row>
    <row r="238" spans="1:9" ht="46.8">
      <c r="A238" s="312">
        <v>213</v>
      </c>
      <c r="B238" s="301" t="s">
        <v>600</v>
      </c>
      <c r="C238" s="295" t="s">
        <v>58</v>
      </c>
      <c r="D238" s="295" t="s">
        <v>402</v>
      </c>
      <c r="E238" s="38" t="s">
        <v>601</v>
      </c>
      <c r="F238" s="38"/>
      <c r="G238" s="168">
        <f>G239</f>
        <v>72.82</v>
      </c>
      <c r="H238" s="168">
        <f aca="true" t="shared" si="95" ref="H238:I238">H239</f>
        <v>0</v>
      </c>
      <c r="I238" s="168">
        <f t="shared" si="95"/>
        <v>0</v>
      </c>
    </row>
    <row r="239" spans="1:9" ht="62.4">
      <c r="A239" s="312">
        <v>214</v>
      </c>
      <c r="B239" s="300" t="s">
        <v>86</v>
      </c>
      <c r="C239" s="295" t="s">
        <v>58</v>
      </c>
      <c r="D239" s="295" t="s">
        <v>402</v>
      </c>
      <c r="E239" s="38" t="s">
        <v>602</v>
      </c>
      <c r="F239" s="38"/>
      <c r="G239" s="168">
        <f>G240+G243</f>
        <v>72.82</v>
      </c>
      <c r="H239" s="168">
        <f aca="true" t="shared" si="96" ref="H239:I239">H240+H243</f>
        <v>0</v>
      </c>
      <c r="I239" s="168">
        <f t="shared" si="96"/>
        <v>0</v>
      </c>
    </row>
    <row r="240" spans="1:9" ht="78">
      <c r="A240" s="312">
        <v>215</v>
      </c>
      <c r="B240" s="299" t="s">
        <v>25</v>
      </c>
      <c r="C240" s="295" t="s">
        <v>58</v>
      </c>
      <c r="D240" s="295" t="s">
        <v>402</v>
      </c>
      <c r="E240" s="38" t="s">
        <v>602</v>
      </c>
      <c r="F240" s="38">
        <v>100</v>
      </c>
      <c r="G240" s="168">
        <f>G241</f>
        <v>67.82</v>
      </c>
      <c r="H240" s="168">
        <f aca="true" t="shared" si="97" ref="H240:I240">H241</f>
        <v>0</v>
      </c>
      <c r="I240" s="168">
        <f t="shared" si="97"/>
        <v>0</v>
      </c>
    </row>
    <row r="241" spans="1:9" ht="31.2">
      <c r="A241" s="312">
        <v>216</v>
      </c>
      <c r="B241" s="299" t="s">
        <v>26</v>
      </c>
      <c r="C241" s="295" t="s">
        <v>58</v>
      </c>
      <c r="D241" s="295" t="s">
        <v>402</v>
      </c>
      <c r="E241" s="38" t="s">
        <v>602</v>
      </c>
      <c r="F241" s="38">
        <v>120</v>
      </c>
      <c r="G241" s="168">
        <v>67.82</v>
      </c>
      <c r="H241" s="168">
        <v>0</v>
      </c>
      <c r="I241" s="168">
        <v>0</v>
      </c>
    </row>
    <row r="242" spans="1:9" ht="31.2">
      <c r="A242" s="312">
        <v>217</v>
      </c>
      <c r="B242" s="299" t="s">
        <v>32</v>
      </c>
      <c r="C242" s="295" t="s">
        <v>58</v>
      </c>
      <c r="D242" s="295" t="s">
        <v>402</v>
      </c>
      <c r="E242" s="38" t="s">
        <v>602</v>
      </c>
      <c r="F242" s="38">
        <v>200</v>
      </c>
      <c r="G242" s="168">
        <f>G243</f>
        <v>5</v>
      </c>
      <c r="H242" s="168">
        <f aca="true" t="shared" si="98" ref="H242:I242">H243</f>
        <v>0</v>
      </c>
      <c r="I242" s="168">
        <f t="shared" si="98"/>
        <v>0</v>
      </c>
    </row>
    <row r="243" spans="1:9" ht="46.8">
      <c r="A243" s="312">
        <v>218</v>
      </c>
      <c r="B243" s="299" t="s">
        <v>33</v>
      </c>
      <c r="C243" s="295" t="s">
        <v>58</v>
      </c>
      <c r="D243" s="295" t="s">
        <v>402</v>
      </c>
      <c r="E243" s="38" t="s">
        <v>602</v>
      </c>
      <c r="F243" s="38">
        <v>240</v>
      </c>
      <c r="G243" s="168">
        <v>5</v>
      </c>
      <c r="H243" s="168">
        <v>0</v>
      </c>
      <c r="I243" s="168">
        <v>0</v>
      </c>
    </row>
    <row r="244" spans="1:9" ht="62.4">
      <c r="A244" s="312">
        <v>219</v>
      </c>
      <c r="B244" s="40" t="s">
        <v>491</v>
      </c>
      <c r="C244" s="38" t="s">
        <v>58</v>
      </c>
      <c r="D244" s="38" t="s">
        <v>402</v>
      </c>
      <c r="E244" s="38">
        <v>1400000000</v>
      </c>
      <c r="F244" s="38"/>
      <c r="G244" s="168">
        <f>G245+G251</f>
        <v>474.08</v>
      </c>
      <c r="H244" s="168">
        <f aca="true" t="shared" si="99" ref="H244:I244">H245</f>
        <v>546.9</v>
      </c>
      <c r="I244" s="168">
        <f t="shared" si="99"/>
        <v>546.9</v>
      </c>
    </row>
    <row r="245" spans="1:9" ht="46.8">
      <c r="A245" s="312">
        <v>220</v>
      </c>
      <c r="B245" s="40" t="s">
        <v>492</v>
      </c>
      <c r="C245" s="38" t="s">
        <v>58</v>
      </c>
      <c r="D245" s="38" t="s">
        <v>402</v>
      </c>
      <c r="E245" s="38">
        <v>1410000000</v>
      </c>
      <c r="F245" s="38"/>
      <c r="G245" s="168">
        <f>G246</f>
        <v>474.08</v>
      </c>
      <c r="H245" s="168">
        <f aca="true" t="shared" si="100" ref="H245:I245">H246</f>
        <v>546.9</v>
      </c>
      <c r="I245" s="168">
        <f t="shared" si="100"/>
        <v>546.9</v>
      </c>
    </row>
    <row r="246" spans="1:9" ht="62.4">
      <c r="A246" s="312">
        <v>221</v>
      </c>
      <c r="B246" s="254" t="s">
        <v>86</v>
      </c>
      <c r="C246" s="38" t="s">
        <v>58</v>
      </c>
      <c r="D246" s="38" t="s">
        <v>402</v>
      </c>
      <c r="E246" s="38">
        <v>1410075170</v>
      </c>
      <c r="F246" s="38"/>
      <c r="G246" s="168">
        <f>G247+G249</f>
        <v>474.08</v>
      </c>
      <c r="H246" s="168">
        <f aca="true" t="shared" si="101" ref="H246:I246">H247+H249</f>
        <v>546.9</v>
      </c>
      <c r="I246" s="168">
        <f t="shared" si="101"/>
        <v>546.9</v>
      </c>
    </row>
    <row r="247" spans="1:9" ht="78">
      <c r="A247" s="312">
        <v>222</v>
      </c>
      <c r="B247" s="256" t="s">
        <v>25</v>
      </c>
      <c r="C247" s="38" t="s">
        <v>58</v>
      </c>
      <c r="D247" s="38" t="s">
        <v>402</v>
      </c>
      <c r="E247" s="38">
        <v>1410075170</v>
      </c>
      <c r="F247" s="38">
        <v>100</v>
      </c>
      <c r="G247" s="168">
        <f>G248</f>
        <v>409.83</v>
      </c>
      <c r="H247" s="168">
        <f aca="true" t="shared" si="102" ref="H247:I247">H248</f>
        <v>477.65</v>
      </c>
      <c r="I247" s="168">
        <f t="shared" si="102"/>
        <v>477.65</v>
      </c>
    </row>
    <row r="248" spans="1:9" ht="31.2">
      <c r="A248" s="312">
        <v>223</v>
      </c>
      <c r="B248" s="256" t="s">
        <v>26</v>
      </c>
      <c r="C248" s="38" t="s">
        <v>58</v>
      </c>
      <c r="D248" s="38" t="s">
        <v>402</v>
      </c>
      <c r="E248" s="38">
        <v>1410075170</v>
      </c>
      <c r="F248" s="38">
        <v>120</v>
      </c>
      <c r="G248" s="168">
        <v>409.83</v>
      </c>
      <c r="H248" s="168">
        <v>477.65</v>
      </c>
      <c r="I248" s="168">
        <v>477.65</v>
      </c>
    </row>
    <row r="249" spans="1:9" ht="31.2">
      <c r="A249" s="312">
        <v>224</v>
      </c>
      <c r="B249" s="256" t="s">
        <v>32</v>
      </c>
      <c r="C249" s="38" t="s">
        <v>58</v>
      </c>
      <c r="D249" s="38" t="s">
        <v>402</v>
      </c>
      <c r="E249" s="38">
        <v>1410075170</v>
      </c>
      <c r="F249" s="38">
        <v>200</v>
      </c>
      <c r="G249" s="168">
        <f>G250</f>
        <v>64.25</v>
      </c>
      <c r="H249" s="168">
        <f aca="true" t="shared" si="103" ref="H249:I249">H250</f>
        <v>69.25</v>
      </c>
      <c r="I249" s="168">
        <f t="shared" si="103"/>
        <v>69.25</v>
      </c>
    </row>
    <row r="250" spans="1:9" ht="46.8">
      <c r="A250" s="312">
        <v>225</v>
      </c>
      <c r="B250" s="256" t="s">
        <v>33</v>
      </c>
      <c r="C250" s="38" t="s">
        <v>58</v>
      </c>
      <c r="D250" s="38" t="s">
        <v>402</v>
      </c>
      <c r="E250" s="38">
        <v>1410075170</v>
      </c>
      <c r="F250" s="38">
        <v>240</v>
      </c>
      <c r="G250" s="168">
        <v>64.25</v>
      </c>
      <c r="H250" s="168">
        <v>69.25</v>
      </c>
      <c r="I250" s="168">
        <v>69.25</v>
      </c>
    </row>
    <row r="251" spans="1:9" ht="15" hidden="1">
      <c r="A251" s="312"/>
      <c r="B251" s="252" t="s">
        <v>80</v>
      </c>
      <c r="C251" s="38" t="s">
        <v>58</v>
      </c>
      <c r="D251" s="38" t="s">
        <v>402</v>
      </c>
      <c r="E251" s="38">
        <v>1490000000</v>
      </c>
      <c r="F251" s="38"/>
      <c r="G251" s="168">
        <f>G252</f>
        <v>0</v>
      </c>
      <c r="H251" s="168">
        <f aca="true" t="shared" si="104" ref="H251:I253">H252</f>
        <v>0</v>
      </c>
      <c r="I251" s="168">
        <f t="shared" si="104"/>
        <v>0</v>
      </c>
    </row>
    <row r="252" spans="1:9" ht="62.4" hidden="1">
      <c r="A252" s="312"/>
      <c r="B252" s="255" t="s">
        <v>556</v>
      </c>
      <c r="C252" s="38" t="s">
        <v>58</v>
      </c>
      <c r="D252" s="38" t="s">
        <v>402</v>
      </c>
      <c r="E252" s="38">
        <v>1490096070</v>
      </c>
      <c r="F252" s="38"/>
      <c r="G252" s="168">
        <f>G253</f>
        <v>0</v>
      </c>
      <c r="H252" s="168">
        <f t="shared" si="104"/>
        <v>0</v>
      </c>
      <c r="I252" s="168">
        <f t="shared" si="104"/>
        <v>0</v>
      </c>
    </row>
    <row r="253" spans="1:9" ht="46.8" hidden="1">
      <c r="A253" s="312"/>
      <c r="B253" s="256" t="s">
        <v>95</v>
      </c>
      <c r="C253" s="38" t="s">
        <v>58</v>
      </c>
      <c r="D253" s="38" t="s">
        <v>402</v>
      </c>
      <c r="E253" s="38">
        <v>1490096070</v>
      </c>
      <c r="F253" s="38">
        <v>600</v>
      </c>
      <c r="G253" s="168">
        <f>G254</f>
        <v>0</v>
      </c>
      <c r="H253" s="168">
        <f t="shared" si="104"/>
        <v>0</v>
      </c>
      <c r="I253" s="168">
        <f t="shared" si="104"/>
        <v>0</v>
      </c>
    </row>
    <row r="254" spans="1:9" ht="46.8" hidden="1">
      <c r="A254" s="312"/>
      <c r="B254" s="256" t="s">
        <v>96</v>
      </c>
      <c r="C254" s="38" t="s">
        <v>58</v>
      </c>
      <c r="D254" s="38" t="s">
        <v>402</v>
      </c>
      <c r="E254" s="38">
        <v>1490096070</v>
      </c>
      <c r="F254" s="38">
        <v>630</v>
      </c>
      <c r="G254" s="168">
        <f>2000-2000</f>
        <v>0</v>
      </c>
      <c r="H254" s="168">
        <v>0</v>
      </c>
      <c r="I254" s="168">
        <v>0</v>
      </c>
    </row>
    <row r="255" spans="1:9" ht="15">
      <c r="A255" s="312">
        <v>226</v>
      </c>
      <c r="B255" s="257" t="s">
        <v>82</v>
      </c>
      <c r="C255" s="38" t="s">
        <v>58</v>
      </c>
      <c r="D255" s="38" t="s">
        <v>282</v>
      </c>
      <c r="E255" s="38"/>
      <c r="F255" s="38"/>
      <c r="G255" s="168">
        <f>G256</f>
        <v>9699.949999999999</v>
      </c>
      <c r="H255" s="168">
        <f aca="true" t="shared" si="105" ref="H255:I255">H256</f>
        <v>9952.4</v>
      </c>
      <c r="I255" s="168">
        <f t="shared" si="105"/>
        <v>9952.4</v>
      </c>
    </row>
    <row r="256" spans="1:9" ht="31.2">
      <c r="A256" s="312">
        <v>227</v>
      </c>
      <c r="B256" s="257" t="s">
        <v>87</v>
      </c>
      <c r="C256" s="38" t="s">
        <v>58</v>
      </c>
      <c r="D256" s="38" t="s">
        <v>282</v>
      </c>
      <c r="E256" s="38">
        <v>1100000000</v>
      </c>
      <c r="F256" s="38"/>
      <c r="G256" s="168">
        <f>G257</f>
        <v>9699.949999999999</v>
      </c>
      <c r="H256" s="168">
        <f aca="true" t="shared" si="106" ref="H256:I259">H257</f>
        <v>9952.4</v>
      </c>
      <c r="I256" s="168">
        <f t="shared" si="106"/>
        <v>9952.4</v>
      </c>
    </row>
    <row r="257" spans="1:9" ht="31.2">
      <c r="A257" s="312">
        <v>228</v>
      </c>
      <c r="B257" s="257" t="s">
        <v>88</v>
      </c>
      <c r="C257" s="38" t="s">
        <v>58</v>
      </c>
      <c r="D257" s="38" t="s">
        <v>282</v>
      </c>
      <c r="E257" s="38">
        <v>1110000000</v>
      </c>
      <c r="F257" s="38"/>
      <c r="G257" s="168">
        <f>G258+G261</f>
        <v>9699.949999999999</v>
      </c>
      <c r="H257" s="168">
        <f aca="true" t="shared" si="107" ref="H257:I257">H258+H261</f>
        <v>9952.4</v>
      </c>
      <c r="I257" s="168">
        <f t="shared" si="107"/>
        <v>9952.4</v>
      </c>
    </row>
    <row r="258" spans="1:9" ht="156">
      <c r="A258" s="312">
        <v>229</v>
      </c>
      <c r="B258" s="289" t="s">
        <v>89</v>
      </c>
      <c r="C258" s="38" t="s">
        <v>58</v>
      </c>
      <c r="D258" s="38" t="s">
        <v>282</v>
      </c>
      <c r="E258" s="38">
        <v>1110023580</v>
      </c>
      <c r="F258" s="38"/>
      <c r="G258" s="168">
        <f>G259</f>
        <v>9699.949999999999</v>
      </c>
      <c r="H258" s="168">
        <f t="shared" si="106"/>
        <v>9952.4</v>
      </c>
      <c r="I258" s="168">
        <f t="shared" si="106"/>
        <v>9952.4</v>
      </c>
    </row>
    <row r="259" spans="1:9" ht="15">
      <c r="A259" s="312">
        <v>230</v>
      </c>
      <c r="B259" s="256" t="s">
        <v>67</v>
      </c>
      <c r="C259" s="38" t="s">
        <v>58</v>
      </c>
      <c r="D259" s="38" t="s">
        <v>282</v>
      </c>
      <c r="E259" s="38">
        <v>1110023580</v>
      </c>
      <c r="F259" s="38">
        <v>800</v>
      </c>
      <c r="G259" s="168">
        <f>G260</f>
        <v>9699.949999999999</v>
      </c>
      <c r="H259" s="168">
        <f t="shared" si="106"/>
        <v>9952.4</v>
      </c>
      <c r="I259" s="168">
        <f t="shared" si="106"/>
        <v>9952.4</v>
      </c>
    </row>
    <row r="260" spans="1:12" ht="62.4">
      <c r="A260" s="312">
        <v>231</v>
      </c>
      <c r="B260" s="256" t="s">
        <v>90</v>
      </c>
      <c r="C260" s="38" t="s">
        <v>58</v>
      </c>
      <c r="D260" s="38" t="s">
        <v>282</v>
      </c>
      <c r="E260" s="38">
        <v>1110023580</v>
      </c>
      <c r="F260" s="38">
        <v>810</v>
      </c>
      <c r="G260" s="168">
        <f>9952.4-215.84-36.61</f>
        <v>9699.949999999999</v>
      </c>
      <c r="H260" s="168">
        <v>9952.4</v>
      </c>
      <c r="I260" s="168">
        <v>9952.4</v>
      </c>
      <c r="L260" s="272">
        <v>-36.61</v>
      </c>
    </row>
    <row r="261" spans="1:9" ht="124.8">
      <c r="A261" s="312">
        <v>232</v>
      </c>
      <c r="B261" s="256" t="s">
        <v>564</v>
      </c>
      <c r="C261" s="38" t="s">
        <v>58</v>
      </c>
      <c r="D261" s="38" t="s">
        <v>282</v>
      </c>
      <c r="E261" s="38">
        <v>1110023590</v>
      </c>
      <c r="F261" s="38"/>
      <c r="G261" s="168">
        <f>G262</f>
        <v>0</v>
      </c>
      <c r="H261" s="168">
        <f aca="true" t="shared" si="108" ref="H261:I262">H262</f>
        <v>0</v>
      </c>
      <c r="I261" s="168">
        <f t="shared" si="108"/>
        <v>0</v>
      </c>
    </row>
    <row r="262" spans="1:9" ht="15">
      <c r="A262" s="312">
        <v>233</v>
      </c>
      <c r="B262" s="256" t="s">
        <v>67</v>
      </c>
      <c r="C262" s="38" t="s">
        <v>58</v>
      </c>
      <c r="D262" s="38" t="s">
        <v>282</v>
      </c>
      <c r="E262" s="38">
        <v>1110023590</v>
      </c>
      <c r="F262" s="38">
        <v>800</v>
      </c>
      <c r="G262" s="168">
        <f>G263</f>
        <v>0</v>
      </c>
      <c r="H262" s="168">
        <f t="shared" si="108"/>
        <v>0</v>
      </c>
      <c r="I262" s="168">
        <f t="shared" si="108"/>
        <v>0</v>
      </c>
    </row>
    <row r="263" spans="1:9" ht="62.4">
      <c r="A263" s="312">
        <v>234</v>
      </c>
      <c r="B263" s="256" t="s">
        <v>90</v>
      </c>
      <c r="C263" s="38" t="s">
        <v>58</v>
      </c>
      <c r="D263" s="38" t="s">
        <v>282</v>
      </c>
      <c r="E263" s="38">
        <v>1110023590</v>
      </c>
      <c r="F263" s="38">
        <v>810</v>
      </c>
      <c r="G263" s="168">
        <f>1700-1700</f>
        <v>0</v>
      </c>
      <c r="H263" s="168">
        <v>0</v>
      </c>
      <c r="I263" s="168">
        <v>0</v>
      </c>
    </row>
    <row r="264" spans="1:9" ht="15">
      <c r="A264" s="312">
        <v>235</v>
      </c>
      <c r="B264" s="253" t="s">
        <v>91</v>
      </c>
      <c r="C264" s="38" t="s">
        <v>58</v>
      </c>
      <c r="D264" s="38" t="s">
        <v>403</v>
      </c>
      <c r="E264" s="38"/>
      <c r="F264" s="38"/>
      <c r="G264" s="168">
        <f aca="true" t="shared" si="109" ref="G264:G268">G265</f>
        <v>636.64</v>
      </c>
      <c r="H264" s="168">
        <f aca="true" t="shared" si="110" ref="H264:I264">H265</f>
        <v>430.6</v>
      </c>
      <c r="I264" s="168">
        <f t="shared" si="110"/>
        <v>430.6</v>
      </c>
    </row>
    <row r="265" spans="1:9" ht="31.2">
      <c r="A265" s="312">
        <v>236</v>
      </c>
      <c r="B265" s="257" t="s">
        <v>87</v>
      </c>
      <c r="C265" s="38" t="s">
        <v>58</v>
      </c>
      <c r="D265" s="38" t="s">
        <v>403</v>
      </c>
      <c r="E265" s="38">
        <v>1100000000</v>
      </c>
      <c r="F265" s="38"/>
      <c r="G265" s="168">
        <f>G266+G270</f>
        <v>636.64</v>
      </c>
      <c r="H265" s="168">
        <f aca="true" t="shared" si="111" ref="H265:I265">H266+H270</f>
        <v>430.6</v>
      </c>
      <c r="I265" s="168">
        <f t="shared" si="111"/>
        <v>430.6</v>
      </c>
    </row>
    <row r="266" spans="1:9" ht="31.2">
      <c r="A266" s="312">
        <v>237</v>
      </c>
      <c r="B266" s="257" t="s">
        <v>92</v>
      </c>
      <c r="C266" s="38" t="s">
        <v>58</v>
      </c>
      <c r="D266" s="38" t="s">
        <v>403</v>
      </c>
      <c r="E266" s="38">
        <v>1120000000</v>
      </c>
      <c r="F266" s="38"/>
      <c r="G266" s="168">
        <f t="shared" si="109"/>
        <v>430.6</v>
      </c>
      <c r="H266" s="168">
        <f aca="true" t="shared" si="112" ref="H266:I266">H267</f>
        <v>430.6</v>
      </c>
      <c r="I266" s="168">
        <f t="shared" si="112"/>
        <v>430.6</v>
      </c>
    </row>
    <row r="267" spans="1:9" ht="78">
      <c r="A267" s="312">
        <v>238</v>
      </c>
      <c r="B267" s="257" t="s">
        <v>426</v>
      </c>
      <c r="C267" s="38" t="s">
        <v>58</v>
      </c>
      <c r="D267" s="38" t="s">
        <v>403</v>
      </c>
      <c r="E267" s="38">
        <v>1120082220</v>
      </c>
      <c r="F267" s="38"/>
      <c r="G267" s="168">
        <f t="shared" si="109"/>
        <v>430.6</v>
      </c>
      <c r="H267" s="168">
        <f aca="true" t="shared" si="113" ref="H267:I268">H268</f>
        <v>430.6</v>
      </c>
      <c r="I267" s="168">
        <f t="shared" si="113"/>
        <v>430.6</v>
      </c>
    </row>
    <row r="268" spans="1:9" ht="31.2">
      <c r="A268" s="312">
        <v>239</v>
      </c>
      <c r="B268" s="256" t="s">
        <v>32</v>
      </c>
      <c r="C268" s="38" t="s">
        <v>58</v>
      </c>
      <c r="D268" s="38" t="s">
        <v>403</v>
      </c>
      <c r="E268" s="38">
        <v>1120082220</v>
      </c>
      <c r="F268" s="38">
        <v>200</v>
      </c>
      <c r="G268" s="168">
        <f t="shared" si="109"/>
        <v>430.6</v>
      </c>
      <c r="H268" s="168">
        <f t="shared" si="113"/>
        <v>430.6</v>
      </c>
      <c r="I268" s="168">
        <f t="shared" si="113"/>
        <v>430.6</v>
      </c>
    </row>
    <row r="269" spans="1:9" ht="46.8">
      <c r="A269" s="312">
        <v>240</v>
      </c>
      <c r="B269" s="256" t="s">
        <v>33</v>
      </c>
      <c r="C269" s="38" t="s">
        <v>58</v>
      </c>
      <c r="D269" s="38" t="s">
        <v>403</v>
      </c>
      <c r="E269" s="38">
        <v>1120082220</v>
      </c>
      <c r="F269" s="38">
        <v>240</v>
      </c>
      <c r="G269" s="168">
        <v>430.6</v>
      </c>
      <c r="H269" s="168">
        <v>430.6</v>
      </c>
      <c r="I269" s="168">
        <v>430.6</v>
      </c>
    </row>
    <row r="270" spans="1:9" ht="46.8">
      <c r="A270" s="312">
        <v>241</v>
      </c>
      <c r="B270" s="257" t="s">
        <v>284</v>
      </c>
      <c r="C270" s="38" t="s">
        <v>58</v>
      </c>
      <c r="D270" s="38" t="s">
        <v>403</v>
      </c>
      <c r="E270" s="38">
        <v>1130000000</v>
      </c>
      <c r="F270" s="38"/>
      <c r="G270" s="168">
        <f>G271+G274</f>
        <v>206.04</v>
      </c>
      <c r="H270" s="168">
        <f aca="true" t="shared" si="114" ref="H270:I270">H271+H274</f>
        <v>0</v>
      </c>
      <c r="I270" s="168">
        <f t="shared" si="114"/>
        <v>0</v>
      </c>
    </row>
    <row r="271" spans="1:9" ht="93.6">
      <c r="A271" s="312">
        <v>242</v>
      </c>
      <c r="B271" s="257" t="s">
        <v>531</v>
      </c>
      <c r="C271" s="48" t="s">
        <v>433</v>
      </c>
      <c r="D271" s="48" t="s">
        <v>529</v>
      </c>
      <c r="E271" s="38">
        <v>1130075080</v>
      </c>
      <c r="F271" s="38"/>
      <c r="G271" s="168">
        <f>G272</f>
        <v>204</v>
      </c>
      <c r="H271" s="168">
        <f aca="true" t="shared" si="115" ref="H271:I272">H272</f>
        <v>0</v>
      </c>
      <c r="I271" s="168">
        <f t="shared" si="115"/>
        <v>0</v>
      </c>
    </row>
    <row r="272" spans="1:9" ht="31.2">
      <c r="A272" s="312">
        <v>243</v>
      </c>
      <c r="B272" s="256" t="s">
        <v>32</v>
      </c>
      <c r="C272" s="48" t="s">
        <v>433</v>
      </c>
      <c r="D272" s="48" t="s">
        <v>529</v>
      </c>
      <c r="E272" s="38">
        <v>1130075080</v>
      </c>
      <c r="F272" s="38">
        <v>200</v>
      </c>
      <c r="G272" s="168">
        <f>G273</f>
        <v>204</v>
      </c>
      <c r="H272" s="168">
        <f t="shared" si="115"/>
        <v>0</v>
      </c>
      <c r="I272" s="168">
        <f t="shared" si="115"/>
        <v>0</v>
      </c>
    </row>
    <row r="273" spans="1:9" ht="46.8">
      <c r="A273" s="312">
        <v>244</v>
      </c>
      <c r="B273" s="256" t="s">
        <v>33</v>
      </c>
      <c r="C273" s="48" t="s">
        <v>433</v>
      </c>
      <c r="D273" s="48" t="s">
        <v>529</v>
      </c>
      <c r="E273" s="38">
        <v>1130075080</v>
      </c>
      <c r="F273" s="38">
        <v>240</v>
      </c>
      <c r="G273" s="168">
        <v>204</v>
      </c>
      <c r="H273" s="168">
        <v>0</v>
      </c>
      <c r="I273" s="168">
        <v>0</v>
      </c>
    </row>
    <row r="274" spans="1:9" ht="78">
      <c r="A274" s="312">
        <v>245</v>
      </c>
      <c r="B274" s="255" t="s">
        <v>445</v>
      </c>
      <c r="C274" s="38" t="s">
        <v>58</v>
      </c>
      <c r="D274" s="38" t="s">
        <v>403</v>
      </c>
      <c r="E274" s="38" t="s">
        <v>496</v>
      </c>
      <c r="F274" s="38"/>
      <c r="G274" s="168">
        <f>G275</f>
        <v>2.04</v>
      </c>
      <c r="H274" s="168">
        <f aca="true" t="shared" si="116" ref="H274:I274">H275</f>
        <v>0</v>
      </c>
      <c r="I274" s="168">
        <f t="shared" si="116"/>
        <v>0</v>
      </c>
    </row>
    <row r="275" spans="1:9" ht="31.2">
      <c r="A275" s="312">
        <v>246</v>
      </c>
      <c r="B275" s="256" t="s">
        <v>32</v>
      </c>
      <c r="C275" s="38" t="s">
        <v>58</v>
      </c>
      <c r="D275" s="38" t="s">
        <v>403</v>
      </c>
      <c r="E275" s="38" t="s">
        <v>496</v>
      </c>
      <c r="F275" s="38">
        <v>200</v>
      </c>
      <c r="G275" s="168">
        <f>G276</f>
        <v>2.04</v>
      </c>
      <c r="H275" s="168">
        <f aca="true" t="shared" si="117" ref="H275:I275">H276</f>
        <v>0</v>
      </c>
      <c r="I275" s="168">
        <f t="shared" si="117"/>
        <v>0</v>
      </c>
    </row>
    <row r="276" spans="1:9" ht="46.8">
      <c r="A276" s="312">
        <v>247</v>
      </c>
      <c r="B276" s="256" t="s">
        <v>33</v>
      </c>
      <c r="C276" s="38" t="s">
        <v>58</v>
      </c>
      <c r="D276" s="38" t="s">
        <v>403</v>
      </c>
      <c r="E276" s="38" t="s">
        <v>496</v>
      </c>
      <c r="F276" s="38">
        <v>240</v>
      </c>
      <c r="G276" s="168">
        <v>2.04</v>
      </c>
      <c r="H276" s="168">
        <v>0</v>
      </c>
      <c r="I276" s="168">
        <v>0</v>
      </c>
    </row>
    <row r="277" spans="1:9" ht="15">
      <c r="A277" s="312">
        <v>248</v>
      </c>
      <c r="B277" s="255" t="s">
        <v>557</v>
      </c>
      <c r="C277" s="38" t="s">
        <v>58</v>
      </c>
      <c r="D277" s="38" t="s">
        <v>558</v>
      </c>
      <c r="E277" s="38"/>
      <c r="F277" s="38"/>
      <c r="G277" s="168">
        <f>G278</f>
        <v>5409.67</v>
      </c>
      <c r="H277" s="168">
        <f aca="true" t="shared" si="118" ref="H277:I277">H278</f>
        <v>0</v>
      </c>
      <c r="I277" s="168">
        <f t="shared" si="118"/>
        <v>0</v>
      </c>
    </row>
    <row r="278" spans="1:9" ht="31.2">
      <c r="A278" s="312">
        <v>249</v>
      </c>
      <c r="B278" s="257" t="s">
        <v>87</v>
      </c>
      <c r="C278" s="38" t="s">
        <v>58</v>
      </c>
      <c r="D278" s="38" t="s">
        <v>558</v>
      </c>
      <c r="E278" s="38">
        <v>1100000000</v>
      </c>
      <c r="F278" s="38"/>
      <c r="G278" s="168">
        <f>G279+G283</f>
        <v>5409.67</v>
      </c>
      <c r="H278" s="168">
        <f aca="true" t="shared" si="119" ref="H278:I278">H279+H283</f>
        <v>0</v>
      </c>
      <c r="I278" s="168">
        <f t="shared" si="119"/>
        <v>0</v>
      </c>
    </row>
    <row r="279" spans="1:9" ht="15">
      <c r="A279" s="312">
        <v>250</v>
      </c>
      <c r="B279" s="255" t="s">
        <v>80</v>
      </c>
      <c r="C279" s="38" t="s">
        <v>58</v>
      </c>
      <c r="D279" s="38" t="s">
        <v>558</v>
      </c>
      <c r="E279" s="38">
        <v>1190000000</v>
      </c>
      <c r="F279" s="38"/>
      <c r="G279" s="168">
        <f>G280</f>
        <v>5355.67</v>
      </c>
      <c r="H279" s="168">
        <f aca="true" t="shared" si="120" ref="H279:I279">H280</f>
        <v>0</v>
      </c>
      <c r="I279" s="168">
        <f t="shared" si="120"/>
        <v>0</v>
      </c>
    </row>
    <row r="280" spans="1:9" ht="124.8">
      <c r="A280" s="312">
        <v>251</v>
      </c>
      <c r="B280" s="256" t="s">
        <v>577</v>
      </c>
      <c r="C280" s="38" t="s">
        <v>58</v>
      </c>
      <c r="D280" s="38" t="s">
        <v>558</v>
      </c>
      <c r="E280" s="38">
        <v>1190076450</v>
      </c>
      <c r="F280" s="38"/>
      <c r="G280" s="168">
        <f>G281</f>
        <v>5355.67</v>
      </c>
      <c r="H280" s="168">
        <f aca="true" t="shared" si="121" ref="H280:I280">H281</f>
        <v>0</v>
      </c>
      <c r="I280" s="168">
        <f t="shared" si="121"/>
        <v>0</v>
      </c>
    </row>
    <row r="281" spans="1:9" ht="46.8">
      <c r="A281" s="312">
        <v>252</v>
      </c>
      <c r="B281" s="255" t="s">
        <v>119</v>
      </c>
      <c r="C281" s="38" t="s">
        <v>58</v>
      </c>
      <c r="D281" s="38" t="s">
        <v>558</v>
      </c>
      <c r="E281" s="38">
        <v>1190076450</v>
      </c>
      <c r="F281" s="38">
        <v>400</v>
      </c>
      <c r="G281" s="168">
        <f>G282</f>
        <v>5355.67</v>
      </c>
      <c r="H281" s="168">
        <f aca="true" t="shared" si="122" ref="H281:I281">H282</f>
        <v>0</v>
      </c>
      <c r="I281" s="168">
        <f t="shared" si="122"/>
        <v>0</v>
      </c>
    </row>
    <row r="282" spans="1:9" ht="15">
      <c r="A282" s="312">
        <v>253</v>
      </c>
      <c r="B282" s="255" t="s">
        <v>120</v>
      </c>
      <c r="C282" s="38" t="s">
        <v>58</v>
      </c>
      <c r="D282" s="38" t="s">
        <v>558</v>
      </c>
      <c r="E282" s="38">
        <v>1190076450</v>
      </c>
      <c r="F282" s="38">
        <v>410</v>
      </c>
      <c r="G282" s="168">
        <v>5355.67</v>
      </c>
      <c r="H282" s="168">
        <v>0</v>
      </c>
      <c r="I282" s="168">
        <v>0</v>
      </c>
    </row>
    <row r="283" spans="1:9" ht="31.2">
      <c r="A283" s="312">
        <v>254</v>
      </c>
      <c r="B283" s="255" t="s">
        <v>559</v>
      </c>
      <c r="C283" s="38" t="s">
        <v>58</v>
      </c>
      <c r="D283" s="38" t="s">
        <v>558</v>
      </c>
      <c r="E283" s="38" t="s">
        <v>594</v>
      </c>
      <c r="F283" s="38"/>
      <c r="G283" s="168">
        <f>G284</f>
        <v>54</v>
      </c>
      <c r="H283" s="168">
        <f aca="true" t="shared" si="123" ref="H283:I284">H284</f>
        <v>0</v>
      </c>
      <c r="I283" s="168">
        <f t="shared" si="123"/>
        <v>0</v>
      </c>
    </row>
    <row r="284" spans="1:9" ht="31.2">
      <c r="A284" s="312">
        <v>255</v>
      </c>
      <c r="B284" s="256" t="s">
        <v>32</v>
      </c>
      <c r="C284" s="38" t="s">
        <v>58</v>
      </c>
      <c r="D284" s="38" t="s">
        <v>558</v>
      </c>
      <c r="E284" s="38" t="s">
        <v>594</v>
      </c>
      <c r="F284" s="38">
        <v>200</v>
      </c>
      <c r="G284" s="168">
        <f>G285</f>
        <v>54</v>
      </c>
      <c r="H284" s="168">
        <f t="shared" si="123"/>
        <v>0</v>
      </c>
      <c r="I284" s="168">
        <f t="shared" si="123"/>
        <v>0</v>
      </c>
    </row>
    <row r="285" spans="1:9" ht="46.8">
      <c r="A285" s="312">
        <v>256</v>
      </c>
      <c r="B285" s="256" t="s">
        <v>33</v>
      </c>
      <c r="C285" s="38" t="s">
        <v>58</v>
      </c>
      <c r="D285" s="38" t="s">
        <v>558</v>
      </c>
      <c r="E285" s="38" t="s">
        <v>594</v>
      </c>
      <c r="F285" s="38">
        <v>240</v>
      </c>
      <c r="G285" s="168">
        <v>54</v>
      </c>
      <c r="H285" s="168">
        <v>0</v>
      </c>
      <c r="I285" s="168">
        <v>0</v>
      </c>
    </row>
    <row r="286" spans="1:9" ht="31.2">
      <c r="A286" s="312">
        <v>257</v>
      </c>
      <c r="B286" s="253" t="s">
        <v>93</v>
      </c>
      <c r="C286" s="38" t="s">
        <v>58</v>
      </c>
      <c r="D286" s="38" t="s">
        <v>404</v>
      </c>
      <c r="E286" s="38"/>
      <c r="F286" s="38"/>
      <c r="G286" s="168">
        <f>G287+G292</f>
        <v>0</v>
      </c>
      <c r="H286" s="168">
        <f aca="true" t="shared" si="124" ref="H286:I286">H287+H292</f>
        <v>60</v>
      </c>
      <c r="I286" s="168">
        <f t="shared" si="124"/>
        <v>60</v>
      </c>
    </row>
    <row r="287" spans="1:9" ht="62.4">
      <c r="A287" s="312">
        <v>258</v>
      </c>
      <c r="B287" s="257" t="s">
        <v>84</v>
      </c>
      <c r="C287" s="38" t="s">
        <v>58</v>
      </c>
      <c r="D287" s="38" t="s">
        <v>404</v>
      </c>
      <c r="E287" s="38" t="s">
        <v>85</v>
      </c>
      <c r="F287" s="38"/>
      <c r="G287" s="168">
        <f>G288</f>
        <v>0</v>
      </c>
      <c r="H287" s="168">
        <f aca="true" t="shared" si="125" ref="H287:I290">H288</f>
        <v>60</v>
      </c>
      <c r="I287" s="168">
        <f t="shared" si="125"/>
        <v>60</v>
      </c>
    </row>
    <row r="288" spans="1:9" ht="15">
      <c r="A288" s="312">
        <v>259</v>
      </c>
      <c r="B288" s="253" t="s">
        <v>80</v>
      </c>
      <c r="C288" s="38" t="s">
        <v>58</v>
      </c>
      <c r="D288" s="38" t="s">
        <v>404</v>
      </c>
      <c r="E288" s="38" t="s">
        <v>475</v>
      </c>
      <c r="F288" s="38"/>
      <c r="G288" s="168">
        <f>G289</f>
        <v>0</v>
      </c>
      <c r="H288" s="168">
        <f t="shared" si="125"/>
        <v>60</v>
      </c>
      <c r="I288" s="168">
        <f t="shared" si="125"/>
        <v>60</v>
      </c>
    </row>
    <row r="289" spans="1:9" ht="31.2">
      <c r="A289" s="312">
        <v>260</v>
      </c>
      <c r="B289" s="289" t="s">
        <v>94</v>
      </c>
      <c r="C289" s="38" t="s">
        <v>58</v>
      </c>
      <c r="D289" s="38" t="s">
        <v>404</v>
      </c>
      <c r="E289" s="38" t="s">
        <v>476</v>
      </c>
      <c r="F289" s="38"/>
      <c r="G289" s="168">
        <f>G290</f>
        <v>0</v>
      </c>
      <c r="H289" s="168">
        <f t="shared" si="125"/>
        <v>60</v>
      </c>
      <c r="I289" s="168">
        <f t="shared" si="125"/>
        <v>60</v>
      </c>
    </row>
    <row r="290" spans="1:9" ht="46.8">
      <c r="A290" s="312">
        <v>261</v>
      </c>
      <c r="B290" s="256" t="s">
        <v>95</v>
      </c>
      <c r="C290" s="38" t="s">
        <v>58</v>
      </c>
      <c r="D290" s="38" t="s">
        <v>404</v>
      </c>
      <c r="E290" s="38" t="s">
        <v>476</v>
      </c>
      <c r="F290" s="38">
        <v>600</v>
      </c>
      <c r="G290" s="168">
        <f>G291</f>
        <v>0</v>
      </c>
      <c r="H290" s="168">
        <f t="shared" si="125"/>
        <v>60</v>
      </c>
      <c r="I290" s="168">
        <f t="shared" si="125"/>
        <v>60</v>
      </c>
    </row>
    <row r="291" spans="1:12" ht="46.8">
      <c r="A291" s="312">
        <v>262</v>
      </c>
      <c r="B291" s="256" t="s">
        <v>96</v>
      </c>
      <c r="C291" s="38" t="s">
        <v>58</v>
      </c>
      <c r="D291" s="38" t="s">
        <v>404</v>
      </c>
      <c r="E291" s="38" t="s">
        <v>476</v>
      </c>
      <c r="F291" s="38">
        <v>630</v>
      </c>
      <c r="G291" s="168">
        <f>60-60</f>
        <v>0</v>
      </c>
      <c r="H291" s="168">
        <v>60</v>
      </c>
      <c r="I291" s="168">
        <v>60</v>
      </c>
      <c r="L291" s="272">
        <v>-60</v>
      </c>
    </row>
    <row r="292" spans="1:9" ht="46.8">
      <c r="A292" s="312">
        <v>263</v>
      </c>
      <c r="B292" s="257" t="s">
        <v>285</v>
      </c>
      <c r="C292" s="38" t="s">
        <v>58</v>
      </c>
      <c r="D292" s="38" t="s">
        <v>404</v>
      </c>
      <c r="E292" s="38">
        <v>1200000000</v>
      </c>
      <c r="F292" s="38"/>
      <c r="G292" s="168">
        <f>G293</f>
        <v>0</v>
      </c>
      <c r="H292" s="168">
        <f aca="true" t="shared" si="126" ref="H292:I292">H293</f>
        <v>0</v>
      </c>
      <c r="I292" s="168">
        <f t="shared" si="126"/>
        <v>0</v>
      </c>
    </row>
    <row r="293" spans="1:9" ht="46.8">
      <c r="A293" s="312">
        <v>264</v>
      </c>
      <c r="B293" s="257" t="s">
        <v>288</v>
      </c>
      <c r="C293" s="38" t="s">
        <v>58</v>
      </c>
      <c r="D293" s="38" t="s">
        <v>404</v>
      </c>
      <c r="E293" s="38">
        <v>1230000000</v>
      </c>
      <c r="F293" s="38"/>
      <c r="G293" s="168">
        <f>G294+G296</f>
        <v>0</v>
      </c>
      <c r="H293" s="168">
        <f aca="true" t="shared" si="127" ref="H293:I293">H294+H296</f>
        <v>0</v>
      </c>
      <c r="I293" s="168">
        <f t="shared" si="127"/>
        <v>0</v>
      </c>
    </row>
    <row r="294" spans="1:9" ht="31.2">
      <c r="A294" s="312">
        <v>265</v>
      </c>
      <c r="B294" s="263" t="s">
        <v>444</v>
      </c>
      <c r="C294" s="38" t="s">
        <v>58</v>
      </c>
      <c r="D294" s="38" t="s">
        <v>404</v>
      </c>
      <c r="E294" s="38">
        <v>1230083110</v>
      </c>
      <c r="F294" s="38"/>
      <c r="G294" s="168">
        <f>G295</f>
        <v>0</v>
      </c>
      <c r="H294" s="168">
        <f aca="true" t="shared" si="128" ref="H294:I294">H295</f>
        <v>0</v>
      </c>
      <c r="I294" s="168">
        <f t="shared" si="128"/>
        <v>0</v>
      </c>
    </row>
    <row r="295" spans="1:12" ht="46.8">
      <c r="A295" s="312">
        <v>266</v>
      </c>
      <c r="B295" s="256" t="s">
        <v>33</v>
      </c>
      <c r="C295" s="38" t="s">
        <v>58</v>
      </c>
      <c r="D295" s="38" t="s">
        <v>404</v>
      </c>
      <c r="E295" s="38">
        <v>1230083110</v>
      </c>
      <c r="F295" s="38">
        <v>240</v>
      </c>
      <c r="G295" s="168">
        <f>94.93-94.93</f>
        <v>0</v>
      </c>
      <c r="H295" s="168">
        <v>0</v>
      </c>
      <c r="I295" s="168">
        <v>0</v>
      </c>
      <c r="L295" s="272">
        <v>-94.93</v>
      </c>
    </row>
    <row r="296" spans="1:9" ht="46.8">
      <c r="A296" s="312">
        <v>267</v>
      </c>
      <c r="B296" s="291" t="s">
        <v>568</v>
      </c>
      <c r="C296" s="38" t="s">
        <v>58</v>
      </c>
      <c r="D296" s="38" t="s">
        <v>404</v>
      </c>
      <c r="E296" s="38" t="s">
        <v>569</v>
      </c>
      <c r="F296" s="38"/>
      <c r="G296" s="168">
        <f>G297</f>
        <v>0</v>
      </c>
      <c r="H296" s="168">
        <f aca="true" t="shared" si="129" ref="H296:I296">H297</f>
        <v>0</v>
      </c>
      <c r="I296" s="168">
        <f t="shared" si="129"/>
        <v>0</v>
      </c>
    </row>
    <row r="297" spans="1:12" ht="46.8">
      <c r="A297" s="312">
        <v>268</v>
      </c>
      <c r="B297" s="256" t="s">
        <v>33</v>
      </c>
      <c r="C297" s="38" t="s">
        <v>58</v>
      </c>
      <c r="D297" s="38" t="s">
        <v>404</v>
      </c>
      <c r="E297" s="38" t="s">
        <v>569</v>
      </c>
      <c r="F297" s="38">
        <v>240</v>
      </c>
      <c r="G297" s="168">
        <f>377.3-377.3</f>
        <v>0</v>
      </c>
      <c r="H297" s="168">
        <v>0</v>
      </c>
      <c r="I297" s="168">
        <v>0</v>
      </c>
      <c r="L297" s="272">
        <v>-377.3</v>
      </c>
    </row>
    <row r="298" spans="1:9" ht="15">
      <c r="A298" s="312">
        <v>269</v>
      </c>
      <c r="B298" s="253" t="s">
        <v>98</v>
      </c>
      <c r="C298" s="38" t="s">
        <v>58</v>
      </c>
      <c r="D298" s="38" t="s">
        <v>393</v>
      </c>
      <c r="E298" s="38"/>
      <c r="F298" s="38"/>
      <c r="G298" s="168">
        <f>G299</f>
        <v>58609.200000000004</v>
      </c>
      <c r="H298" s="168">
        <f aca="true" t="shared" si="130" ref="H298:I298">H299</f>
        <v>52761.100000000006</v>
      </c>
      <c r="I298" s="168">
        <f t="shared" si="130"/>
        <v>52761.100000000006</v>
      </c>
    </row>
    <row r="299" spans="1:9" ht="15">
      <c r="A299" s="312">
        <v>270</v>
      </c>
      <c r="B299" s="253" t="s">
        <v>99</v>
      </c>
      <c r="C299" s="38" t="s">
        <v>58</v>
      </c>
      <c r="D299" s="38" t="s">
        <v>394</v>
      </c>
      <c r="E299" s="38"/>
      <c r="F299" s="38"/>
      <c r="G299" s="168">
        <f>G300</f>
        <v>58609.200000000004</v>
      </c>
      <c r="H299" s="168">
        <f aca="true" t="shared" si="131" ref="H299:I299">H300</f>
        <v>52761.100000000006</v>
      </c>
      <c r="I299" s="168">
        <f t="shared" si="131"/>
        <v>52761.100000000006</v>
      </c>
    </row>
    <row r="300" spans="1:9" ht="46.8">
      <c r="A300" s="312">
        <v>271</v>
      </c>
      <c r="B300" s="253" t="s">
        <v>100</v>
      </c>
      <c r="C300" s="38" t="s">
        <v>58</v>
      </c>
      <c r="D300" s="38" t="s">
        <v>394</v>
      </c>
      <c r="E300" s="38" t="s">
        <v>101</v>
      </c>
      <c r="F300" s="38"/>
      <c r="G300" s="168">
        <f>G301</f>
        <v>58609.200000000004</v>
      </c>
      <c r="H300" s="168">
        <f aca="true" t="shared" si="132" ref="H300:I300">H301</f>
        <v>52761.100000000006</v>
      </c>
      <c r="I300" s="168">
        <f t="shared" si="132"/>
        <v>52761.100000000006</v>
      </c>
    </row>
    <row r="301" spans="1:9" ht="15">
      <c r="A301" s="312">
        <v>272</v>
      </c>
      <c r="B301" s="263" t="s">
        <v>102</v>
      </c>
      <c r="C301" s="38" t="s">
        <v>58</v>
      </c>
      <c r="D301" s="38" t="s">
        <v>394</v>
      </c>
      <c r="E301" s="38" t="s">
        <v>103</v>
      </c>
      <c r="F301" s="38"/>
      <c r="G301" s="168">
        <f>G302+G305</f>
        <v>58609.200000000004</v>
      </c>
      <c r="H301" s="168">
        <f aca="true" t="shared" si="133" ref="H301:I301">H302+H305</f>
        <v>52761.100000000006</v>
      </c>
      <c r="I301" s="168">
        <f t="shared" si="133"/>
        <v>52761.100000000006</v>
      </c>
    </row>
    <row r="302" spans="1:9" ht="93.6">
      <c r="A302" s="312">
        <v>273</v>
      </c>
      <c r="B302" s="290" t="s">
        <v>326</v>
      </c>
      <c r="C302" s="38" t="s">
        <v>58</v>
      </c>
      <c r="D302" s="38" t="s">
        <v>394</v>
      </c>
      <c r="E302" s="38" t="s">
        <v>104</v>
      </c>
      <c r="F302" s="38"/>
      <c r="G302" s="168">
        <f>G303</f>
        <v>22084.4</v>
      </c>
      <c r="H302" s="168">
        <f aca="true" t="shared" si="134" ref="H302:I303">H303</f>
        <v>22053.9</v>
      </c>
      <c r="I302" s="168">
        <f t="shared" si="134"/>
        <v>22053.9</v>
      </c>
    </row>
    <row r="303" spans="1:9" ht="15">
      <c r="A303" s="312">
        <v>274</v>
      </c>
      <c r="B303" s="256" t="s">
        <v>67</v>
      </c>
      <c r="C303" s="38" t="s">
        <v>58</v>
      </c>
      <c r="D303" s="38" t="s">
        <v>394</v>
      </c>
      <c r="E303" s="38" t="s">
        <v>104</v>
      </c>
      <c r="F303" s="38">
        <v>800</v>
      </c>
      <c r="G303" s="168">
        <f>G304</f>
        <v>22084.4</v>
      </c>
      <c r="H303" s="168">
        <f t="shared" si="134"/>
        <v>22053.9</v>
      </c>
      <c r="I303" s="168">
        <f t="shared" si="134"/>
        <v>22053.9</v>
      </c>
    </row>
    <row r="304" spans="1:11" ht="62.4">
      <c r="A304" s="312">
        <v>275</v>
      </c>
      <c r="B304" s="256" t="s">
        <v>90</v>
      </c>
      <c r="C304" s="38" t="s">
        <v>58</v>
      </c>
      <c r="D304" s="38" t="s">
        <v>394</v>
      </c>
      <c r="E304" s="38" t="s">
        <v>104</v>
      </c>
      <c r="F304" s="38">
        <v>810</v>
      </c>
      <c r="G304" s="175">
        <f>22053.9+30.5</f>
        <v>22084.4</v>
      </c>
      <c r="H304" s="175">
        <v>22053.9</v>
      </c>
      <c r="I304" s="175">
        <v>22053.9</v>
      </c>
      <c r="K304" s="237">
        <v>30.5</v>
      </c>
    </row>
    <row r="305" spans="1:9" ht="62.4">
      <c r="A305" s="312">
        <v>276</v>
      </c>
      <c r="B305" s="290" t="s">
        <v>327</v>
      </c>
      <c r="C305" s="38" t="s">
        <v>58</v>
      </c>
      <c r="D305" s="38" t="s">
        <v>394</v>
      </c>
      <c r="E305" s="38" t="s">
        <v>105</v>
      </c>
      <c r="F305" s="38"/>
      <c r="G305" s="168">
        <f>G306</f>
        <v>36524.8</v>
      </c>
      <c r="H305" s="168">
        <f aca="true" t="shared" si="135" ref="H305:I306">H306</f>
        <v>30707.2</v>
      </c>
      <c r="I305" s="168">
        <f t="shared" si="135"/>
        <v>30707.2</v>
      </c>
    </row>
    <row r="306" spans="1:9" ht="15">
      <c r="A306" s="312">
        <v>277</v>
      </c>
      <c r="B306" s="256" t="s">
        <v>67</v>
      </c>
      <c r="C306" s="38" t="s">
        <v>58</v>
      </c>
      <c r="D306" s="38" t="s">
        <v>394</v>
      </c>
      <c r="E306" s="38" t="s">
        <v>105</v>
      </c>
      <c r="F306" s="38">
        <v>800</v>
      </c>
      <c r="G306" s="168">
        <f>G307</f>
        <v>36524.8</v>
      </c>
      <c r="H306" s="168">
        <f t="shared" si="135"/>
        <v>30707.2</v>
      </c>
      <c r="I306" s="168">
        <f t="shared" si="135"/>
        <v>30707.2</v>
      </c>
    </row>
    <row r="307" spans="1:11" ht="62.4">
      <c r="A307" s="312">
        <v>278</v>
      </c>
      <c r="B307" s="292" t="s">
        <v>90</v>
      </c>
      <c r="C307" s="38" t="s">
        <v>58</v>
      </c>
      <c r="D307" s="38" t="s">
        <v>394</v>
      </c>
      <c r="E307" s="38" t="s">
        <v>105</v>
      </c>
      <c r="F307" s="38">
        <v>810</v>
      </c>
      <c r="G307" s="175">
        <f>30707.2+5817.6</f>
        <v>36524.8</v>
      </c>
      <c r="H307" s="175">
        <v>30707.2</v>
      </c>
      <c r="I307" s="175">
        <v>30707.2</v>
      </c>
      <c r="K307" s="237">
        <v>5817.6</v>
      </c>
    </row>
    <row r="308" spans="1:9" ht="15">
      <c r="A308" s="312">
        <v>279</v>
      </c>
      <c r="B308" s="253" t="s">
        <v>106</v>
      </c>
      <c r="C308" s="38" t="s">
        <v>58</v>
      </c>
      <c r="D308" s="38" t="s">
        <v>405</v>
      </c>
      <c r="E308" s="38"/>
      <c r="F308" s="38"/>
      <c r="G308" s="168">
        <f>G309</f>
        <v>1334.8</v>
      </c>
      <c r="H308" s="168">
        <f>H309</f>
        <v>1334.8</v>
      </c>
      <c r="I308" s="168">
        <f>I309</f>
        <v>1334.8</v>
      </c>
    </row>
    <row r="309" spans="1:9" ht="15">
      <c r="A309" s="312">
        <v>280</v>
      </c>
      <c r="B309" s="256" t="s">
        <v>107</v>
      </c>
      <c r="C309" s="38" t="s">
        <v>58</v>
      </c>
      <c r="D309" s="38" t="s">
        <v>406</v>
      </c>
      <c r="E309" s="38"/>
      <c r="F309" s="38"/>
      <c r="G309" s="168">
        <f>G310</f>
        <v>1334.8</v>
      </c>
      <c r="H309" s="168">
        <f aca="true" t="shared" si="136" ref="H309:I311">H310</f>
        <v>1334.8</v>
      </c>
      <c r="I309" s="168">
        <f t="shared" si="136"/>
        <v>1334.8</v>
      </c>
    </row>
    <row r="310" spans="1:9" ht="46.8">
      <c r="A310" s="312">
        <v>281</v>
      </c>
      <c r="B310" s="253" t="s">
        <v>108</v>
      </c>
      <c r="C310" s="38" t="s">
        <v>58</v>
      </c>
      <c r="D310" s="38" t="s">
        <v>406</v>
      </c>
      <c r="E310" s="38" t="s">
        <v>110</v>
      </c>
      <c r="F310" s="38"/>
      <c r="G310" s="168">
        <f>G311</f>
        <v>1334.8</v>
      </c>
      <c r="H310" s="168">
        <f t="shared" si="136"/>
        <v>1334.8</v>
      </c>
      <c r="I310" s="168">
        <f t="shared" si="136"/>
        <v>1334.8</v>
      </c>
    </row>
    <row r="311" spans="1:9" ht="31.2">
      <c r="A311" s="312">
        <v>282</v>
      </c>
      <c r="B311" s="253" t="s">
        <v>109</v>
      </c>
      <c r="C311" s="38" t="s">
        <v>58</v>
      </c>
      <c r="D311" s="38" t="s">
        <v>406</v>
      </c>
      <c r="E311" s="38" t="s">
        <v>111</v>
      </c>
      <c r="F311" s="38"/>
      <c r="G311" s="168">
        <f>G312</f>
        <v>1334.8</v>
      </c>
      <c r="H311" s="168">
        <f t="shared" si="136"/>
        <v>1334.8</v>
      </c>
      <c r="I311" s="168">
        <f t="shared" si="136"/>
        <v>1334.8</v>
      </c>
    </row>
    <row r="312" spans="1:9" ht="78">
      <c r="A312" s="312">
        <v>283</v>
      </c>
      <c r="B312" s="254" t="s">
        <v>328</v>
      </c>
      <c r="C312" s="38" t="s">
        <v>58</v>
      </c>
      <c r="D312" s="38" t="s">
        <v>406</v>
      </c>
      <c r="E312" s="38" t="s">
        <v>112</v>
      </c>
      <c r="F312" s="38"/>
      <c r="G312" s="168">
        <f>G313+G315</f>
        <v>1334.8</v>
      </c>
      <c r="H312" s="168">
        <f>H313+H315</f>
        <v>1334.8</v>
      </c>
      <c r="I312" s="168">
        <f>I313+I315</f>
        <v>1334.8</v>
      </c>
    </row>
    <row r="313" spans="1:9" ht="78">
      <c r="A313" s="312">
        <v>284</v>
      </c>
      <c r="B313" s="256" t="s">
        <v>25</v>
      </c>
      <c r="C313" s="38" t="s">
        <v>58</v>
      </c>
      <c r="D313" s="38" t="s">
        <v>406</v>
      </c>
      <c r="E313" s="38" t="s">
        <v>112</v>
      </c>
      <c r="F313" s="38">
        <v>100</v>
      </c>
      <c r="G313" s="168">
        <f>G314</f>
        <v>975.26</v>
      </c>
      <c r="H313" s="168">
        <f aca="true" t="shared" si="137" ref="H313:I313">H314</f>
        <v>963.11</v>
      </c>
      <c r="I313" s="168">
        <f t="shared" si="137"/>
        <v>963.11</v>
      </c>
    </row>
    <row r="314" spans="1:10" ht="31.2">
      <c r="A314" s="312">
        <v>285</v>
      </c>
      <c r="B314" s="256" t="s">
        <v>26</v>
      </c>
      <c r="C314" s="38" t="s">
        <v>58</v>
      </c>
      <c r="D314" s="38" t="s">
        <v>406</v>
      </c>
      <c r="E314" s="38" t="s">
        <v>112</v>
      </c>
      <c r="F314" s="38">
        <v>120</v>
      </c>
      <c r="G314" s="168">
        <f>963.11+6.05+6.1</f>
        <v>975.26</v>
      </c>
      <c r="H314" s="168">
        <v>963.11</v>
      </c>
      <c r="I314" s="168">
        <v>963.11</v>
      </c>
      <c r="J314" s="162">
        <v>6.1</v>
      </c>
    </row>
    <row r="315" spans="1:9" ht="31.2">
      <c r="A315" s="312">
        <v>286</v>
      </c>
      <c r="B315" s="256" t="s">
        <v>32</v>
      </c>
      <c r="C315" s="38" t="s">
        <v>58</v>
      </c>
      <c r="D315" s="38" t="s">
        <v>406</v>
      </c>
      <c r="E315" s="38" t="s">
        <v>112</v>
      </c>
      <c r="F315" s="38">
        <v>200</v>
      </c>
      <c r="G315" s="168">
        <f>G316</f>
        <v>359.53999999999996</v>
      </c>
      <c r="H315" s="168">
        <f aca="true" t="shared" si="138" ref="H315:I315">H316</f>
        <v>371.69</v>
      </c>
      <c r="I315" s="168">
        <f t="shared" si="138"/>
        <v>371.69</v>
      </c>
    </row>
    <row r="316" spans="1:10" ht="46.8">
      <c r="A316" s="312">
        <v>287</v>
      </c>
      <c r="B316" s="256" t="s">
        <v>33</v>
      </c>
      <c r="C316" s="38" t="s">
        <v>58</v>
      </c>
      <c r="D316" s="38" t="s">
        <v>406</v>
      </c>
      <c r="E316" s="38" t="s">
        <v>112</v>
      </c>
      <c r="F316" s="38">
        <v>240</v>
      </c>
      <c r="G316" s="168">
        <f>371.69-6.05-6.1</f>
        <v>359.53999999999996</v>
      </c>
      <c r="H316" s="168">
        <v>371.69</v>
      </c>
      <c r="I316" s="168">
        <v>371.69</v>
      </c>
      <c r="J316" s="162">
        <v>-6.1</v>
      </c>
    </row>
    <row r="317" spans="1:9" ht="15">
      <c r="A317" s="312">
        <v>288</v>
      </c>
      <c r="B317" s="253" t="s">
        <v>117</v>
      </c>
      <c r="C317" s="38" t="s">
        <v>58</v>
      </c>
      <c r="D317" s="38" t="s">
        <v>118</v>
      </c>
      <c r="E317" s="38"/>
      <c r="F317" s="38"/>
      <c r="G317" s="168">
        <f>G324+G318</f>
        <v>5800.9</v>
      </c>
      <c r="H317" s="168">
        <f aca="true" t="shared" si="139" ref="H317:I317">H324+H318</f>
        <v>1333</v>
      </c>
      <c r="I317" s="168">
        <f t="shared" si="139"/>
        <v>1333</v>
      </c>
    </row>
    <row r="318" spans="1:9" ht="15">
      <c r="A318" s="312">
        <v>289</v>
      </c>
      <c r="B318" s="256" t="s">
        <v>213</v>
      </c>
      <c r="C318" s="38" t="s">
        <v>58</v>
      </c>
      <c r="D318" s="38" t="s">
        <v>214</v>
      </c>
      <c r="E318" s="38"/>
      <c r="F318" s="38"/>
      <c r="G318" s="168">
        <f aca="true" t="shared" si="140" ref="G318:G322">G319</f>
        <v>0</v>
      </c>
      <c r="H318" s="168">
        <f aca="true" t="shared" si="141" ref="H318:I321">H319</f>
        <v>386</v>
      </c>
      <c r="I318" s="168">
        <f t="shared" si="141"/>
        <v>386</v>
      </c>
    </row>
    <row r="319" spans="1:9" ht="46.8">
      <c r="A319" s="312">
        <v>290</v>
      </c>
      <c r="B319" s="257" t="s">
        <v>113</v>
      </c>
      <c r="C319" s="38" t="s">
        <v>58</v>
      </c>
      <c r="D319" s="38" t="s">
        <v>214</v>
      </c>
      <c r="E319" s="38">
        <v>1200000000</v>
      </c>
      <c r="F319" s="38"/>
      <c r="G319" s="168">
        <f t="shared" si="140"/>
        <v>0</v>
      </c>
      <c r="H319" s="168">
        <f t="shared" si="141"/>
        <v>386</v>
      </c>
      <c r="I319" s="168">
        <f t="shared" si="141"/>
        <v>386</v>
      </c>
    </row>
    <row r="320" spans="1:9" ht="31.2">
      <c r="A320" s="312">
        <v>291</v>
      </c>
      <c r="B320" s="257" t="s">
        <v>287</v>
      </c>
      <c r="C320" s="38" t="s">
        <v>58</v>
      </c>
      <c r="D320" s="38" t="s">
        <v>214</v>
      </c>
      <c r="E320" s="38">
        <v>1220000000</v>
      </c>
      <c r="F320" s="38"/>
      <c r="G320" s="168">
        <f t="shared" si="140"/>
        <v>0</v>
      </c>
      <c r="H320" s="168">
        <f t="shared" si="141"/>
        <v>386</v>
      </c>
      <c r="I320" s="168">
        <f t="shared" si="141"/>
        <v>386</v>
      </c>
    </row>
    <row r="321" spans="1:9" ht="31.2">
      <c r="A321" s="312">
        <v>292</v>
      </c>
      <c r="B321" s="253" t="s">
        <v>300</v>
      </c>
      <c r="C321" s="38" t="s">
        <v>58</v>
      </c>
      <c r="D321" s="38" t="s">
        <v>214</v>
      </c>
      <c r="E321" s="38">
        <v>1220082100</v>
      </c>
      <c r="F321" s="38"/>
      <c r="G321" s="168">
        <f t="shared" si="140"/>
        <v>0</v>
      </c>
      <c r="H321" s="168">
        <f t="shared" si="141"/>
        <v>386</v>
      </c>
      <c r="I321" s="168">
        <f t="shared" si="141"/>
        <v>386</v>
      </c>
    </row>
    <row r="322" spans="1:9" ht="31.2">
      <c r="A322" s="312">
        <v>293</v>
      </c>
      <c r="B322" s="256" t="s">
        <v>205</v>
      </c>
      <c r="C322" s="38" t="s">
        <v>58</v>
      </c>
      <c r="D322" s="38" t="s">
        <v>214</v>
      </c>
      <c r="E322" s="38">
        <v>1220082100</v>
      </c>
      <c r="F322" s="38">
        <v>300</v>
      </c>
      <c r="G322" s="168">
        <f t="shared" si="140"/>
        <v>0</v>
      </c>
      <c r="H322" s="168">
        <f aca="true" t="shared" si="142" ref="H322:I322">H323</f>
        <v>386</v>
      </c>
      <c r="I322" s="168">
        <f t="shared" si="142"/>
        <v>386</v>
      </c>
    </row>
    <row r="323" spans="1:9" ht="31.2">
      <c r="A323" s="312">
        <v>294</v>
      </c>
      <c r="B323" s="256" t="s">
        <v>228</v>
      </c>
      <c r="C323" s="38" t="s">
        <v>58</v>
      </c>
      <c r="D323" s="38" t="s">
        <v>214</v>
      </c>
      <c r="E323" s="38">
        <v>1220082100</v>
      </c>
      <c r="F323" s="38">
        <v>320</v>
      </c>
      <c r="G323" s="168">
        <f>386-386</f>
        <v>0</v>
      </c>
      <c r="H323" s="168">
        <v>386</v>
      </c>
      <c r="I323" s="168">
        <v>386</v>
      </c>
    </row>
    <row r="324" spans="1:9" ht="15">
      <c r="A324" s="312">
        <v>295</v>
      </c>
      <c r="B324" s="263" t="s">
        <v>115</v>
      </c>
      <c r="C324" s="38" t="s">
        <v>58</v>
      </c>
      <c r="D324" s="38" t="s">
        <v>116</v>
      </c>
      <c r="E324" s="38"/>
      <c r="F324" s="38"/>
      <c r="G324" s="168">
        <f>G325</f>
        <v>5800.9</v>
      </c>
      <c r="H324" s="168">
        <f aca="true" t="shared" si="143" ref="H324:I325">H325</f>
        <v>947</v>
      </c>
      <c r="I324" s="168">
        <f t="shared" si="143"/>
        <v>947</v>
      </c>
    </row>
    <row r="325" spans="1:9" ht="46.8">
      <c r="A325" s="312">
        <v>296</v>
      </c>
      <c r="B325" s="257" t="s">
        <v>113</v>
      </c>
      <c r="C325" s="38" t="s">
        <v>58</v>
      </c>
      <c r="D325" s="38" t="s">
        <v>116</v>
      </c>
      <c r="E325" s="38">
        <v>1200000000</v>
      </c>
      <c r="F325" s="38"/>
      <c r="G325" s="168">
        <f>G326</f>
        <v>5800.9</v>
      </c>
      <c r="H325" s="168">
        <f t="shared" si="143"/>
        <v>947</v>
      </c>
      <c r="I325" s="168">
        <f t="shared" si="143"/>
        <v>947</v>
      </c>
    </row>
    <row r="326" spans="1:9" ht="62.4">
      <c r="A326" s="312">
        <v>297</v>
      </c>
      <c r="B326" s="253" t="s">
        <v>114</v>
      </c>
      <c r="C326" s="38" t="s">
        <v>58</v>
      </c>
      <c r="D326" s="38" t="s">
        <v>116</v>
      </c>
      <c r="E326" s="38">
        <v>1250000000</v>
      </c>
      <c r="F326" s="38"/>
      <c r="G326" s="168">
        <f>G327+G330</f>
        <v>5800.9</v>
      </c>
      <c r="H326" s="168">
        <f aca="true" t="shared" si="144" ref="H326:I326">H327+H330</f>
        <v>947</v>
      </c>
      <c r="I326" s="168">
        <f t="shared" si="144"/>
        <v>947</v>
      </c>
    </row>
    <row r="327" spans="1:9" ht="78">
      <c r="A327" s="312">
        <v>298</v>
      </c>
      <c r="B327" s="296" t="s">
        <v>605</v>
      </c>
      <c r="C327" s="38" t="s">
        <v>58</v>
      </c>
      <c r="D327" s="38" t="s">
        <v>116</v>
      </c>
      <c r="E327" s="38" t="s">
        <v>121</v>
      </c>
      <c r="F327" s="38"/>
      <c r="G327" s="168">
        <f>G328</f>
        <v>5681.9</v>
      </c>
      <c r="H327" s="168">
        <f aca="true" t="shared" si="145" ref="H327:I328">H328</f>
        <v>947</v>
      </c>
      <c r="I327" s="168">
        <f t="shared" si="145"/>
        <v>947</v>
      </c>
    </row>
    <row r="328" spans="1:9" ht="46.8">
      <c r="A328" s="312">
        <v>299</v>
      </c>
      <c r="B328" s="255" t="s">
        <v>119</v>
      </c>
      <c r="C328" s="38" t="s">
        <v>58</v>
      </c>
      <c r="D328" s="38" t="s">
        <v>116</v>
      </c>
      <c r="E328" s="38" t="s">
        <v>121</v>
      </c>
      <c r="F328" s="38">
        <v>400</v>
      </c>
      <c r="G328" s="168">
        <f>G329</f>
        <v>5681.9</v>
      </c>
      <c r="H328" s="168">
        <f t="shared" si="145"/>
        <v>947</v>
      </c>
      <c r="I328" s="168">
        <f t="shared" si="145"/>
        <v>947</v>
      </c>
    </row>
    <row r="329" spans="1:11" ht="15">
      <c r="A329" s="312">
        <v>300</v>
      </c>
      <c r="B329" s="255" t="s">
        <v>120</v>
      </c>
      <c r="C329" s="38" t="s">
        <v>58</v>
      </c>
      <c r="D329" s="38" t="s">
        <v>116</v>
      </c>
      <c r="E329" s="38" t="s">
        <v>121</v>
      </c>
      <c r="F329" s="38">
        <v>410</v>
      </c>
      <c r="G329" s="168">
        <v>5681.9</v>
      </c>
      <c r="H329" s="168">
        <v>947</v>
      </c>
      <c r="I329" s="168">
        <v>947</v>
      </c>
      <c r="K329" s="237">
        <v>3788</v>
      </c>
    </row>
    <row r="330" spans="1:9" ht="62.4">
      <c r="A330" s="312">
        <v>301</v>
      </c>
      <c r="B330" s="255" t="s">
        <v>584</v>
      </c>
      <c r="C330" s="38" t="s">
        <v>58</v>
      </c>
      <c r="D330" s="38" t="s">
        <v>116</v>
      </c>
      <c r="E330" s="38">
        <v>1250090820</v>
      </c>
      <c r="F330" s="38"/>
      <c r="G330" s="168">
        <f>G331</f>
        <v>119</v>
      </c>
      <c r="H330" s="168">
        <f aca="true" t="shared" si="146" ref="H330:I331">H331</f>
        <v>0</v>
      </c>
      <c r="I330" s="168">
        <f t="shared" si="146"/>
        <v>0</v>
      </c>
    </row>
    <row r="331" spans="1:9" ht="46.8">
      <c r="A331" s="312">
        <v>302</v>
      </c>
      <c r="B331" s="255" t="s">
        <v>119</v>
      </c>
      <c r="C331" s="38" t="s">
        <v>58</v>
      </c>
      <c r="D331" s="38" t="s">
        <v>116</v>
      </c>
      <c r="E331" s="38">
        <v>1250090820</v>
      </c>
      <c r="F331" s="38">
        <v>400</v>
      </c>
      <c r="G331" s="168">
        <f>G332</f>
        <v>119</v>
      </c>
      <c r="H331" s="168">
        <f t="shared" si="146"/>
        <v>0</v>
      </c>
      <c r="I331" s="168">
        <f t="shared" si="146"/>
        <v>0</v>
      </c>
    </row>
    <row r="332" spans="1:9" ht="15">
      <c r="A332" s="312">
        <v>303</v>
      </c>
      <c r="B332" s="255" t="s">
        <v>120</v>
      </c>
      <c r="C332" s="38" t="s">
        <v>58</v>
      </c>
      <c r="D332" s="38" t="s">
        <v>116</v>
      </c>
      <c r="E332" s="38">
        <v>1250090820</v>
      </c>
      <c r="F332" s="38">
        <v>410</v>
      </c>
      <c r="G332" s="168">
        <v>119</v>
      </c>
      <c r="H332" s="168">
        <v>0</v>
      </c>
      <c r="I332" s="168">
        <v>0</v>
      </c>
    </row>
    <row r="333" spans="1:9" ht="46.8">
      <c r="A333" s="312">
        <v>304</v>
      </c>
      <c r="B333" s="260" t="s">
        <v>175</v>
      </c>
      <c r="C333" s="174" t="s">
        <v>433</v>
      </c>
      <c r="D333" s="261"/>
      <c r="E333" s="261"/>
      <c r="F333" s="261"/>
      <c r="G333" s="262">
        <f>G334</f>
        <v>3783.18</v>
      </c>
      <c r="H333" s="262">
        <f aca="true" t="shared" si="147" ref="H333:I333">H334</f>
        <v>2684.0099999999998</v>
      </c>
      <c r="I333" s="262">
        <f t="shared" si="147"/>
        <v>2684.0099999999998</v>
      </c>
    </row>
    <row r="334" spans="1:9" ht="31.2">
      <c r="A334" s="312">
        <v>305</v>
      </c>
      <c r="B334" s="258" t="s">
        <v>176</v>
      </c>
      <c r="C334" s="174" t="s">
        <v>433</v>
      </c>
      <c r="D334" s="38" t="s">
        <v>412</v>
      </c>
      <c r="E334" s="38"/>
      <c r="F334" s="38"/>
      <c r="G334" s="168">
        <f>G335</f>
        <v>3783.18</v>
      </c>
      <c r="H334" s="168">
        <f aca="true" t="shared" si="148" ref="H334:I334">H335</f>
        <v>2684.0099999999998</v>
      </c>
      <c r="I334" s="168">
        <f t="shared" si="148"/>
        <v>2684.0099999999998</v>
      </c>
    </row>
    <row r="335" spans="1:9" ht="46.8">
      <c r="A335" s="312">
        <v>306</v>
      </c>
      <c r="B335" s="256" t="s">
        <v>177</v>
      </c>
      <c r="C335" s="174" t="s">
        <v>433</v>
      </c>
      <c r="D335" s="38" t="s">
        <v>413</v>
      </c>
      <c r="E335" s="38"/>
      <c r="F335" s="38"/>
      <c r="G335" s="168">
        <f>G336</f>
        <v>3783.18</v>
      </c>
      <c r="H335" s="168">
        <f aca="true" t="shared" si="149" ref="H335:I335">H336</f>
        <v>2684.0099999999998</v>
      </c>
      <c r="I335" s="168">
        <f t="shared" si="149"/>
        <v>2684.0099999999998</v>
      </c>
    </row>
    <row r="336" spans="1:9" ht="62.4">
      <c r="A336" s="312">
        <v>307</v>
      </c>
      <c r="B336" s="253" t="s">
        <v>323</v>
      </c>
      <c r="C336" s="174" t="s">
        <v>433</v>
      </c>
      <c r="D336" s="38" t="s">
        <v>413</v>
      </c>
      <c r="E336" s="38" t="s">
        <v>179</v>
      </c>
      <c r="F336" s="38"/>
      <c r="G336" s="168">
        <f>G337+G345+G350</f>
        <v>3783.18</v>
      </c>
      <c r="H336" s="168">
        <f aca="true" t="shared" si="150" ref="H336:I336">H337+H345</f>
        <v>2684.0099999999998</v>
      </c>
      <c r="I336" s="168">
        <f t="shared" si="150"/>
        <v>2684.0099999999998</v>
      </c>
    </row>
    <row r="337" spans="1:9" ht="46.8">
      <c r="A337" s="312">
        <v>308</v>
      </c>
      <c r="B337" s="257" t="s">
        <v>178</v>
      </c>
      <c r="C337" s="174" t="s">
        <v>433</v>
      </c>
      <c r="D337" s="38" t="s">
        <v>413</v>
      </c>
      <c r="E337" s="38" t="s">
        <v>180</v>
      </c>
      <c r="F337" s="38"/>
      <c r="G337" s="168">
        <f>G338</f>
        <v>2770.2799999999997</v>
      </c>
      <c r="H337" s="168">
        <f aca="true" t="shared" si="151" ref="H337:I337">H338</f>
        <v>2684.0099999999998</v>
      </c>
      <c r="I337" s="168">
        <f t="shared" si="151"/>
        <v>2684.0099999999998</v>
      </c>
    </row>
    <row r="338" spans="1:9" ht="78">
      <c r="A338" s="312">
        <v>309</v>
      </c>
      <c r="B338" s="253" t="s">
        <v>181</v>
      </c>
      <c r="C338" s="174" t="s">
        <v>433</v>
      </c>
      <c r="D338" s="38" t="s">
        <v>413</v>
      </c>
      <c r="E338" s="38" t="s">
        <v>182</v>
      </c>
      <c r="F338" s="38"/>
      <c r="G338" s="168">
        <f>G339+G341+G343</f>
        <v>2770.2799999999997</v>
      </c>
      <c r="H338" s="168">
        <f aca="true" t="shared" si="152" ref="H338:I338">H339+H341+H343</f>
        <v>2684.0099999999998</v>
      </c>
      <c r="I338" s="168">
        <f t="shared" si="152"/>
        <v>2684.0099999999998</v>
      </c>
    </row>
    <row r="339" spans="1:9" ht="78">
      <c r="A339" s="312">
        <v>310</v>
      </c>
      <c r="B339" s="256" t="s">
        <v>25</v>
      </c>
      <c r="C339" s="174" t="s">
        <v>433</v>
      </c>
      <c r="D339" s="38" t="s">
        <v>413</v>
      </c>
      <c r="E339" s="38" t="s">
        <v>182</v>
      </c>
      <c r="F339" s="38">
        <v>100</v>
      </c>
      <c r="G339" s="168">
        <f>G340</f>
        <v>2413.2299999999996</v>
      </c>
      <c r="H339" s="168">
        <f aca="true" t="shared" si="153" ref="H339:I339">H340</f>
        <v>2370.41</v>
      </c>
      <c r="I339" s="168">
        <f t="shared" si="153"/>
        <v>2370.41</v>
      </c>
    </row>
    <row r="340" spans="1:10" ht="31.2">
      <c r="A340" s="312">
        <v>311</v>
      </c>
      <c r="B340" s="256" t="s">
        <v>130</v>
      </c>
      <c r="C340" s="174" t="s">
        <v>433</v>
      </c>
      <c r="D340" s="38" t="s">
        <v>413</v>
      </c>
      <c r="E340" s="38" t="s">
        <v>182</v>
      </c>
      <c r="F340" s="38">
        <v>110</v>
      </c>
      <c r="G340" s="168">
        <f>2370.41+35.85+6.97</f>
        <v>2413.2299999999996</v>
      </c>
      <c r="H340" s="168">
        <v>2370.41</v>
      </c>
      <c r="I340" s="168">
        <v>2370.41</v>
      </c>
      <c r="J340" s="162">
        <v>6.97</v>
      </c>
    </row>
    <row r="341" spans="1:9" ht="31.2">
      <c r="A341" s="312">
        <v>312</v>
      </c>
      <c r="B341" s="256" t="s">
        <v>32</v>
      </c>
      <c r="C341" s="174" t="s">
        <v>433</v>
      </c>
      <c r="D341" s="38" t="s">
        <v>413</v>
      </c>
      <c r="E341" s="38" t="s">
        <v>182</v>
      </c>
      <c r="F341" s="38">
        <v>200</v>
      </c>
      <c r="G341" s="168">
        <f>G342</f>
        <v>355.05</v>
      </c>
      <c r="H341" s="168">
        <f aca="true" t="shared" si="154" ref="H341:I341">H342</f>
        <v>311.6</v>
      </c>
      <c r="I341" s="168">
        <f t="shared" si="154"/>
        <v>311.6</v>
      </c>
    </row>
    <row r="342" spans="1:10" ht="46.8">
      <c r="A342" s="312">
        <v>313</v>
      </c>
      <c r="B342" s="256" t="s">
        <v>33</v>
      </c>
      <c r="C342" s="174" t="s">
        <v>433</v>
      </c>
      <c r="D342" s="38" t="s">
        <v>413</v>
      </c>
      <c r="E342" s="38" t="s">
        <v>182</v>
      </c>
      <c r="F342" s="38">
        <v>240</v>
      </c>
      <c r="G342" s="168">
        <f>313.6-2+50.42-6.97</f>
        <v>355.05</v>
      </c>
      <c r="H342" s="168">
        <f aca="true" t="shared" si="155" ref="H342:I342">313.6-2</f>
        <v>311.6</v>
      </c>
      <c r="I342" s="168">
        <f t="shared" si="155"/>
        <v>311.6</v>
      </c>
      <c r="J342" s="162">
        <v>-6.97</v>
      </c>
    </row>
    <row r="343" spans="1:9" ht="15">
      <c r="A343" s="312">
        <v>314</v>
      </c>
      <c r="B343" s="256" t="s">
        <v>67</v>
      </c>
      <c r="C343" s="174" t="s">
        <v>433</v>
      </c>
      <c r="D343" s="38" t="s">
        <v>413</v>
      </c>
      <c r="E343" s="38" t="s">
        <v>182</v>
      </c>
      <c r="F343" s="38">
        <v>800</v>
      </c>
      <c r="G343" s="168">
        <f>G344</f>
        <v>2</v>
      </c>
      <c r="H343" s="168">
        <f aca="true" t="shared" si="156" ref="H343:I343">H344</f>
        <v>2</v>
      </c>
      <c r="I343" s="168">
        <f t="shared" si="156"/>
        <v>2</v>
      </c>
    </row>
    <row r="344" spans="1:9" ht="15">
      <c r="A344" s="312">
        <v>315</v>
      </c>
      <c r="B344" s="256" t="s">
        <v>221</v>
      </c>
      <c r="C344" s="174" t="s">
        <v>433</v>
      </c>
      <c r="D344" s="38" t="s">
        <v>413</v>
      </c>
      <c r="E344" s="38" t="s">
        <v>182</v>
      </c>
      <c r="F344" s="38">
        <v>850</v>
      </c>
      <c r="G344" s="168">
        <v>2</v>
      </c>
      <c r="H344" s="168">
        <v>2</v>
      </c>
      <c r="I344" s="168">
        <v>2</v>
      </c>
    </row>
    <row r="345" spans="1:9" ht="78">
      <c r="A345" s="312">
        <v>316</v>
      </c>
      <c r="B345" s="266" t="s">
        <v>536</v>
      </c>
      <c r="C345" s="174" t="s">
        <v>433</v>
      </c>
      <c r="D345" s="38" t="s">
        <v>413</v>
      </c>
      <c r="E345" s="174" t="s">
        <v>537</v>
      </c>
      <c r="F345" s="38"/>
      <c r="G345" s="168">
        <f>G346+G348</f>
        <v>1011.8000000000001</v>
      </c>
      <c r="H345" s="168">
        <f>H346+H348</f>
        <v>0</v>
      </c>
      <c r="I345" s="168">
        <f>I346+I348</f>
        <v>0</v>
      </c>
    </row>
    <row r="346" spans="1:9" ht="78">
      <c r="A346" s="312">
        <v>317</v>
      </c>
      <c r="B346" s="256" t="s">
        <v>25</v>
      </c>
      <c r="C346" s="174" t="s">
        <v>433</v>
      </c>
      <c r="D346" s="38" t="s">
        <v>413</v>
      </c>
      <c r="E346" s="174" t="s">
        <v>537</v>
      </c>
      <c r="F346" s="38">
        <v>100</v>
      </c>
      <c r="G346" s="168">
        <f>G347</f>
        <v>867.7</v>
      </c>
      <c r="H346" s="168">
        <f aca="true" t="shared" si="157" ref="H346:I346">H347</f>
        <v>0</v>
      </c>
      <c r="I346" s="168">
        <f t="shared" si="157"/>
        <v>0</v>
      </c>
    </row>
    <row r="347" spans="1:11" ht="31.2">
      <c r="A347" s="312">
        <v>318</v>
      </c>
      <c r="B347" s="256" t="s">
        <v>130</v>
      </c>
      <c r="C347" s="174" t="s">
        <v>433</v>
      </c>
      <c r="D347" s="38" t="s">
        <v>413</v>
      </c>
      <c r="E347" s="174" t="s">
        <v>537</v>
      </c>
      <c r="F347" s="38">
        <v>110</v>
      </c>
      <c r="G347" s="168">
        <f>946.6-78.9</f>
        <v>867.7</v>
      </c>
      <c r="H347" s="168">
        <f aca="true" t="shared" si="158" ref="H347:I347">H349</f>
        <v>0</v>
      </c>
      <c r="I347" s="168">
        <f t="shared" si="158"/>
        <v>0</v>
      </c>
      <c r="K347" s="237">
        <v>-78.9</v>
      </c>
    </row>
    <row r="348" spans="1:9" ht="31.2">
      <c r="A348" s="312">
        <v>319</v>
      </c>
      <c r="B348" s="256" t="s">
        <v>32</v>
      </c>
      <c r="C348" s="174" t="s">
        <v>433</v>
      </c>
      <c r="D348" s="38" t="s">
        <v>413</v>
      </c>
      <c r="E348" s="174" t="s">
        <v>537</v>
      </c>
      <c r="F348" s="38">
        <v>200</v>
      </c>
      <c r="G348" s="168">
        <f>G349</f>
        <v>144.1</v>
      </c>
      <c r="H348" s="168">
        <f aca="true" t="shared" si="159" ref="H348:I348">H349</f>
        <v>0</v>
      </c>
      <c r="I348" s="168">
        <f t="shared" si="159"/>
        <v>0</v>
      </c>
    </row>
    <row r="349" spans="1:9" ht="46.8">
      <c r="A349" s="312">
        <v>320</v>
      </c>
      <c r="B349" s="256" t="s">
        <v>33</v>
      </c>
      <c r="C349" s="174" t="s">
        <v>433</v>
      </c>
      <c r="D349" s="38" t="s">
        <v>413</v>
      </c>
      <c r="E349" s="174" t="s">
        <v>537</v>
      </c>
      <c r="F349" s="38">
        <v>240</v>
      </c>
      <c r="G349" s="168">
        <v>144.1</v>
      </c>
      <c r="H349" s="168">
        <v>0</v>
      </c>
      <c r="I349" s="168">
        <v>0</v>
      </c>
    </row>
    <row r="350" spans="1:9" ht="47.25" customHeight="1">
      <c r="A350" s="312">
        <v>321</v>
      </c>
      <c r="B350" s="255" t="s">
        <v>561</v>
      </c>
      <c r="C350" s="174" t="s">
        <v>433</v>
      </c>
      <c r="D350" s="38" t="s">
        <v>413</v>
      </c>
      <c r="E350" s="174" t="s">
        <v>560</v>
      </c>
      <c r="F350" s="38"/>
      <c r="G350" s="168">
        <f aca="true" t="shared" si="160" ref="G350:I351">G351</f>
        <v>1.1</v>
      </c>
      <c r="H350" s="168">
        <f t="shared" si="160"/>
        <v>0</v>
      </c>
      <c r="I350" s="168">
        <f t="shared" si="160"/>
        <v>0</v>
      </c>
    </row>
    <row r="351" spans="1:9" ht="31.2">
      <c r="A351" s="312">
        <v>322</v>
      </c>
      <c r="B351" s="256" t="s">
        <v>32</v>
      </c>
      <c r="C351" s="174" t="s">
        <v>433</v>
      </c>
      <c r="D351" s="38" t="s">
        <v>413</v>
      </c>
      <c r="E351" s="174" t="s">
        <v>560</v>
      </c>
      <c r="F351" s="38">
        <v>200</v>
      </c>
      <c r="G351" s="168">
        <f t="shared" si="160"/>
        <v>1.1</v>
      </c>
      <c r="H351" s="168">
        <f t="shared" si="160"/>
        <v>0</v>
      </c>
      <c r="I351" s="168">
        <f t="shared" si="160"/>
        <v>0</v>
      </c>
    </row>
    <row r="352" spans="1:9" ht="46.8">
      <c r="A352" s="312">
        <v>323</v>
      </c>
      <c r="B352" s="256" t="s">
        <v>33</v>
      </c>
      <c r="C352" s="174" t="s">
        <v>433</v>
      </c>
      <c r="D352" s="38" t="s">
        <v>413</v>
      </c>
      <c r="E352" s="174" t="s">
        <v>560</v>
      </c>
      <c r="F352" s="38">
        <v>240</v>
      </c>
      <c r="G352" s="168">
        <v>1.1</v>
      </c>
      <c r="H352" s="168">
        <v>0</v>
      </c>
      <c r="I352" s="168">
        <v>0</v>
      </c>
    </row>
    <row r="353" spans="1:9" ht="31.2">
      <c r="A353" s="312">
        <v>324</v>
      </c>
      <c r="B353" s="260" t="s">
        <v>122</v>
      </c>
      <c r="C353" s="174" t="s">
        <v>433</v>
      </c>
      <c r="D353" s="38"/>
      <c r="E353" s="38"/>
      <c r="F353" s="38"/>
      <c r="G353" s="168">
        <f>G354</f>
        <v>2147.49</v>
      </c>
      <c r="H353" s="168">
        <f aca="true" t="shared" si="161" ref="H353:I353">H354</f>
        <v>2352.81</v>
      </c>
      <c r="I353" s="168">
        <f t="shared" si="161"/>
        <v>2352.81</v>
      </c>
    </row>
    <row r="354" spans="1:9" ht="15">
      <c r="A354" s="312">
        <v>325</v>
      </c>
      <c r="B354" s="253" t="s">
        <v>56</v>
      </c>
      <c r="C354" s="174" t="s">
        <v>433</v>
      </c>
      <c r="D354" s="38" t="s">
        <v>59</v>
      </c>
      <c r="E354" s="38"/>
      <c r="F354" s="38"/>
      <c r="G354" s="168">
        <f>G355</f>
        <v>2147.49</v>
      </c>
      <c r="H354" s="168">
        <f aca="true" t="shared" si="162" ref="H354:I354">H355</f>
        <v>2352.81</v>
      </c>
      <c r="I354" s="168">
        <f t="shared" si="162"/>
        <v>2352.81</v>
      </c>
    </row>
    <row r="355" spans="1:9" ht="15">
      <c r="A355" s="312">
        <v>326</v>
      </c>
      <c r="B355" s="253" t="s">
        <v>123</v>
      </c>
      <c r="C355" s="174" t="s">
        <v>433</v>
      </c>
      <c r="D355" s="38" t="s">
        <v>186</v>
      </c>
      <c r="E355" s="38"/>
      <c r="F355" s="38"/>
      <c r="G355" s="168">
        <f>G356</f>
        <v>2147.49</v>
      </c>
      <c r="H355" s="168">
        <f aca="true" t="shared" si="163" ref="H355:I355">H356</f>
        <v>2352.81</v>
      </c>
      <c r="I355" s="168">
        <f t="shared" si="163"/>
        <v>2352.81</v>
      </c>
    </row>
    <row r="356" spans="1:9" ht="15">
      <c r="A356" s="312">
        <v>327</v>
      </c>
      <c r="B356" s="253" t="s">
        <v>124</v>
      </c>
      <c r="C356" s="174" t="s">
        <v>433</v>
      </c>
      <c r="D356" s="38" t="s">
        <v>186</v>
      </c>
      <c r="E356" s="38" t="s">
        <v>126</v>
      </c>
      <c r="F356" s="38"/>
      <c r="G356" s="168">
        <f>G357</f>
        <v>2147.49</v>
      </c>
      <c r="H356" s="168">
        <f aca="true" t="shared" si="164" ref="H356:I356">H357</f>
        <v>2352.81</v>
      </c>
      <c r="I356" s="168">
        <f t="shared" si="164"/>
        <v>2352.81</v>
      </c>
    </row>
    <row r="357" spans="1:9" ht="31.2">
      <c r="A357" s="312">
        <v>328</v>
      </c>
      <c r="B357" s="253" t="s">
        <v>125</v>
      </c>
      <c r="C357" s="174" t="s">
        <v>433</v>
      </c>
      <c r="D357" s="38" t="s">
        <v>186</v>
      </c>
      <c r="E357" s="38" t="s">
        <v>127</v>
      </c>
      <c r="F357" s="38"/>
      <c r="G357" s="168">
        <f>G358+G365</f>
        <v>2147.49</v>
      </c>
      <c r="H357" s="168">
        <f>H358+H365</f>
        <v>2352.81</v>
      </c>
      <c r="I357" s="168">
        <f>I358+I365</f>
        <v>2352.81</v>
      </c>
    </row>
    <row r="358" spans="1:9" ht="31.2">
      <c r="A358" s="312">
        <v>329</v>
      </c>
      <c r="B358" s="253" t="s">
        <v>128</v>
      </c>
      <c r="C358" s="174" t="s">
        <v>433</v>
      </c>
      <c r="D358" s="38" t="s">
        <v>186</v>
      </c>
      <c r="E358" s="38" t="s">
        <v>129</v>
      </c>
      <c r="F358" s="38"/>
      <c r="G358" s="168">
        <f>G359+G361+G363</f>
        <v>1921.8899999999999</v>
      </c>
      <c r="H358" s="168">
        <f aca="true" t="shared" si="165" ref="H358:I358">H359+H361+H363</f>
        <v>2127.21</v>
      </c>
      <c r="I358" s="168">
        <f t="shared" si="165"/>
        <v>2127.21</v>
      </c>
    </row>
    <row r="359" spans="1:9" ht="78">
      <c r="A359" s="312">
        <v>330</v>
      </c>
      <c r="B359" s="256" t="s">
        <v>25</v>
      </c>
      <c r="C359" s="174" t="s">
        <v>433</v>
      </c>
      <c r="D359" s="38" t="s">
        <v>186</v>
      </c>
      <c r="E359" s="38" t="s">
        <v>129</v>
      </c>
      <c r="F359" s="38">
        <v>100</v>
      </c>
      <c r="G359" s="168">
        <f>G360</f>
        <v>1146.8</v>
      </c>
      <c r="H359" s="168">
        <f aca="true" t="shared" si="166" ref="H359:I359">H360</f>
        <v>1277.77</v>
      </c>
      <c r="I359" s="168">
        <f t="shared" si="166"/>
        <v>1277.77</v>
      </c>
    </row>
    <row r="360" spans="1:12" ht="31.2">
      <c r="A360" s="312">
        <v>331</v>
      </c>
      <c r="B360" s="259" t="s">
        <v>130</v>
      </c>
      <c r="C360" s="174" t="s">
        <v>433</v>
      </c>
      <c r="D360" s="38" t="s">
        <v>186</v>
      </c>
      <c r="E360" s="38" t="s">
        <v>129</v>
      </c>
      <c r="F360" s="38">
        <v>110</v>
      </c>
      <c r="G360" s="168">
        <f>1277.77+0.78+9.68-50-26.43-65</f>
        <v>1146.8</v>
      </c>
      <c r="H360" s="168">
        <v>1277.77</v>
      </c>
      <c r="I360" s="168">
        <v>1277.77</v>
      </c>
      <c r="J360" s="162">
        <v>-26.43</v>
      </c>
      <c r="L360" s="272">
        <v>-65</v>
      </c>
    </row>
    <row r="361" spans="1:9" ht="31.2">
      <c r="A361" s="312">
        <v>332</v>
      </c>
      <c r="B361" s="256" t="s">
        <v>32</v>
      </c>
      <c r="C361" s="174" t="s">
        <v>433</v>
      </c>
      <c r="D361" s="38" t="s">
        <v>186</v>
      </c>
      <c r="E361" s="38" t="s">
        <v>129</v>
      </c>
      <c r="F361" s="38">
        <v>200</v>
      </c>
      <c r="G361" s="168">
        <f>G362</f>
        <v>773.09</v>
      </c>
      <c r="H361" s="168">
        <f aca="true" t="shared" si="167" ref="H361:I361">H362</f>
        <v>847.44</v>
      </c>
      <c r="I361" s="168">
        <f t="shared" si="167"/>
        <v>847.44</v>
      </c>
    </row>
    <row r="362" spans="1:10" ht="46.8">
      <c r="A362" s="312">
        <v>333</v>
      </c>
      <c r="B362" s="256" t="s">
        <v>33</v>
      </c>
      <c r="C362" s="174" t="s">
        <v>433</v>
      </c>
      <c r="D362" s="38" t="s">
        <v>186</v>
      </c>
      <c r="E362" s="38" t="s">
        <v>129</v>
      </c>
      <c r="F362" s="38">
        <v>240</v>
      </c>
      <c r="G362" s="168">
        <f>849.44-2-0.78-100+26.43</f>
        <v>773.09</v>
      </c>
      <c r="H362" s="168">
        <f aca="true" t="shared" si="168" ref="H362:I362">849.44-2</f>
        <v>847.44</v>
      </c>
      <c r="I362" s="168">
        <f t="shared" si="168"/>
        <v>847.44</v>
      </c>
      <c r="J362" s="162">
        <v>26.43</v>
      </c>
    </row>
    <row r="363" spans="1:9" ht="15">
      <c r="A363" s="312">
        <v>334</v>
      </c>
      <c r="B363" s="256" t="s">
        <v>67</v>
      </c>
      <c r="C363" s="174" t="s">
        <v>433</v>
      </c>
      <c r="D363" s="38" t="s">
        <v>186</v>
      </c>
      <c r="E363" s="38" t="s">
        <v>129</v>
      </c>
      <c r="F363" s="38">
        <v>800</v>
      </c>
      <c r="G363" s="168">
        <f>G364</f>
        <v>2</v>
      </c>
      <c r="H363" s="168">
        <f aca="true" t="shared" si="169" ref="H363:I363">H364</f>
        <v>2</v>
      </c>
      <c r="I363" s="168">
        <f t="shared" si="169"/>
        <v>2</v>
      </c>
    </row>
    <row r="364" spans="1:9" ht="15">
      <c r="A364" s="312">
        <v>335</v>
      </c>
      <c r="B364" s="256" t="s">
        <v>221</v>
      </c>
      <c r="C364" s="174" t="s">
        <v>433</v>
      </c>
      <c r="D364" s="38" t="s">
        <v>186</v>
      </c>
      <c r="E364" s="38" t="s">
        <v>129</v>
      </c>
      <c r="F364" s="38">
        <v>850</v>
      </c>
      <c r="G364" s="168">
        <v>2</v>
      </c>
      <c r="H364" s="168">
        <v>2</v>
      </c>
      <c r="I364" s="168">
        <v>2</v>
      </c>
    </row>
    <row r="365" spans="1:9" ht="46.8">
      <c r="A365" s="312">
        <v>336</v>
      </c>
      <c r="B365" s="254" t="s">
        <v>131</v>
      </c>
      <c r="C365" s="174" t="s">
        <v>433</v>
      </c>
      <c r="D365" s="38" t="s">
        <v>186</v>
      </c>
      <c r="E365" s="38" t="s">
        <v>132</v>
      </c>
      <c r="F365" s="38"/>
      <c r="G365" s="168">
        <f>G366+G368</f>
        <v>225.6</v>
      </c>
      <c r="H365" s="168">
        <f>H366+H368</f>
        <v>225.6</v>
      </c>
      <c r="I365" s="168">
        <f>I366+I368</f>
        <v>225.6</v>
      </c>
    </row>
    <row r="366" spans="1:9" ht="78">
      <c r="A366" s="312">
        <v>337</v>
      </c>
      <c r="B366" s="256" t="s">
        <v>25</v>
      </c>
      <c r="C366" s="174" t="s">
        <v>433</v>
      </c>
      <c r="D366" s="38" t="s">
        <v>186</v>
      </c>
      <c r="E366" s="38" t="s">
        <v>132</v>
      </c>
      <c r="F366" s="38">
        <v>100</v>
      </c>
      <c r="G366" s="168">
        <f>G367</f>
        <v>186.73</v>
      </c>
      <c r="H366" s="168">
        <f aca="true" t="shared" si="170" ref="H366:I366">H367</f>
        <v>186.73</v>
      </c>
      <c r="I366" s="168">
        <f t="shared" si="170"/>
        <v>186.73</v>
      </c>
    </row>
    <row r="367" spans="1:9" ht="31.2">
      <c r="A367" s="312">
        <v>338</v>
      </c>
      <c r="B367" s="256" t="s">
        <v>130</v>
      </c>
      <c r="C367" s="174" t="s">
        <v>433</v>
      </c>
      <c r="D367" s="38" t="s">
        <v>186</v>
      </c>
      <c r="E367" s="38" t="s">
        <v>132</v>
      </c>
      <c r="F367" s="38">
        <v>110</v>
      </c>
      <c r="G367" s="168">
        <v>186.73</v>
      </c>
      <c r="H367" s="168">
        <v>186.73</v>
      </c>
      <c r="I367" s="168">
        <v>186.73</v>
      </c>
    </row>
    <row r="368" spans="1:9" ht="31.2">
      <c r="A368" s="312">
        <v>339</v>
      </c>
      <c r="B368" s="256" t="s">
        <v>32</v>
      </c>
      <c r="C368" s="174" t="s">
        <v>433</v>
      </c>
      <c r="D368" s="38" t="s">
        <v>186</v>
      </c>
      <c r="E368" s="38" t="s">
        <v>132</v>
      </c>
      <c r="F368" s="38">
        <v>200</v>
      </c>
      <c r="G368" s="168">
        <f>G369</f>
        <v>38.87</v>
      </c>
      <c r="H368" s="168">
        <f aca="true" t="shared" si="171" ref="H368:I368">H369</f>
        <v>38.87</v>
      </c>
      <c r="I368" s="168">
        <f t="shared" si="171"/>
        <v>38.87</v>
      </c>
    </row>
    <row r="369" spans="1:9" ht="46.8">
      <c r="A369" s="312">
        <v>340</v>
      </c>
      <c r="B369" s="256" t="s">
        <v>33</v>
      </c>
      <c r="C369" s="174" t="s">
        <v>433</v>
      </c>
      <c r="D369" s="38" t="s">
        <v>186</v>
      </c>
      <c r="E369" s="38" t="s">
        <v>132</v>
      </c>
      <c r="F369" s="38">
        <v>240</v>
      </c>
      <c r="G369" s="168">
        <v>38.87</v>
      </c>
      <c r="H369" s="168">
        <v>38.87</v>
      </c>
      <c r="I369" s="168">
        <v>38.87</v>
      </c>
    </row>
    <row r="370" spans="1:9" ht="31.2">
      <c r="A370" s="312">
        <v>341</v>
      </c>
      <c r="B370" s="260" t="s">
        <v>339</v>
      </c>
      <c r="C370" s="174" t="s">
        <v>433</v>
      </c>
      <c r="D370" s="261"/>
      <c r="E370" s="261"/>
      <c r="F370" s="261"/>
      <c r="G370" s="262">
        <f>G371</f>
        <v>2876.88</v>
      </c>
      <c r="H370" s="262">
        <f aca="true" t="shared" si="172" ref="H370:I374">H371</f>
        <v>3714.5</v>
      </c>
      <c r="I370" s="262">
        <f t="shared" si="172"/>
        <v>3714.5</v>
      </c>
    </row>
    <row r="371" spans="1:9" ht="15">
      <c r="A371" s="312">
        <v>342</v>
      </c>
      <c r="B371" s="254" t="s">
        <v>56</v>
      </c>
      <c r="C371" s="174" t="s">
        <v>433</v>
      </c>
      <c r="D371" s="38" t="s">
        <v>59</v>
      </c>
      <c r="E371" s="38"/>
      <c r="F371" s="38"/>
      <c r="G371" s="168">
        <f>G372</f>
        <v>2876.88</v>
      </c>
      <c r="H371" s="168">
        <f t="shared" si="172"/>
        <v>3714.5</v>
      </c>
      <c r="I371" s="168">
        <f t="shared" si="172"/>
        <v>3714.5</v>
      </c>
    </row>
    <row r="372" spans="1:9" ht="15">
      <c r="A372" s="312">
        <v>343</v>
      </c>
      <c r="B372" s="253" t="s">
        <v>70</v>
      </c>
      <c r="C372" s="174" t="s">
        <v>433</v>
      </c>
      <c r="D372" s="38" t="s">
        <v>186</v>
      </c>
      <c r="E372" s="38"/>
      <c r="F372" s="38"/>
      <c r="G372" s="168">
        <f>G373</f>
        <v>2876.88</v>
      </c>
      <c r="H372" s="168">
        <f t="shared" si="172"/>
        <v>3714.5</v>
      </c>
      <c r="I372" s="168">
        <f t="shared" si="172"/>
        <v>3714.5</v>
      </c>
    </row>
    <row r="373" spans="1:9" ht="31.2">
      <c r="A373" s="312">
        <v>344</v>
      </c>
      <c r="B373" s="253" t="s">
        <v>189</v>
      </c>
      <c r="C373" s="174" t="s">
        <v>433</v>
      </c>
      <c r="D373" s="38" t="s">
        <v>186</v>
      </c>
      <c r="E373" s="38" t="s">
        <v>61</v>
      </c>
      <c r="F373" s="38"/>
      <c r="G373" s="168">
        <f>G374</f>
        <v>2876.88</v>
      </c>
      <c r="H373" s="168">
        <f t="shared" si="172"/>
        <v>3714.5</v>
      </c>
      <c r="I373" s="168">
        <f t="shared" si="172"/>
        <v>3714.5</v>
      </c>
    </row>
    <row r="374" spans="1:9" ht="62.4">
      <c r="A374" s="312">
        <v>345</v>
      </c>
      <c r="B374" s="253" t="s">
        <v>467</v>
      </c>
      <c r="C374" s="174" t="s">
        <v>433</v>
      </c>
      <c r="D374" s="38" t="s">
        <v>186</v>
      </c>
      <c r="E374" s="38" t="s">
        <v>337</v>
      </c>
      <c r="F374" s="38"/>
      <c r="G374" s="168">
        <f>G375</f>
        <v>2876.88</v>
      </c>
      <c r="H374" s="168">
        <f t="shared" si="172"/>
        <v>3714.5</v>
      </c>
      <c r="I374" s="168">
        <f t="shared" si="172"/>
        <v>3714.5</v>
      </c>
    </row>
    <row r="375" spans="1:9" ht="78">
      <c r="A375" s="312">
        <v>346</v>
      </c>
      <c r="B375" s="253" t="s">
        <v>187</v>
      </c>
      <c r="C375" s="174" t="s">
        <v>433</v>
      </c>
      <c r="D375" s="38" t="s">
        <v>186</v>
      </c>
      <c r="E375" s="38" t="s">
        <v>338</v>
      </c>
      <c r="F375" s="38"/>
      <c r="G375" s="168">
        <f>G376+G378+G380</f>
        <v>2876.88</v>
      </c>
      <c r="H375" s="168">
        <f aca="true" t="shared" si="173" ref="H375:I375">H376+H378+H380</f>
        <v>3714.5</v>
      </c>
      <c r="I375" s="168">
        <f t="shared" si="173"/>
        <v>3714.5</v>
      </c>
    </row>
    <row r="376" spans="1:9" ht="78">
      <c r="A376" s="312">
        <v>347</v>
      </c>
      <c r="B376" s="256" t="s">
        <v>25</v>
      </c>
      <c r="C376" s="174" t="s">
        <v>433</v>
      </c>
      <c r="D376" s="38" t="s">
        <v>186</v>
      </c>
      <c r="E376" s="38" t="s">
        <v>338</v>
      </c>
      <c r="F376" s="38">
        <v>100</v>
      </c>
      <c r="G376" s="168">
        <f>G377</f>
        <v>2588.6800000000003</v>
      </c>
      <c r="H376" s="168">
        <f aca="true" t="shared" si="174" ref="H376:I376">H377</f>
        <v>3163.3</v>
      </c>
      <c r="I376" s="168">
        <f t="shared" si="174"/>
        <v>3163.3</v>
      </c>
    </row>
    <row r="377" spans="1:12" ht="31.2">
      <c r="A377" s="312">
        <v>348</v>
      </c>
      <c r="B377" s="259" t="s">
        <v>130</v>
      </c>
      <c r="C377" s="174" t="s">
        <v>433</v>
      </c>
      <c r="D377" s="38" t="s">
        <v>186</v>
      </c>
      <c r="E377" s="38" t="s">
        <v>338</v>
      </c>
      <c r="F377" s="38">
        <v>110</v>
      </c>
      <c r="G377" s="168">
        <f>3285.5-122.2-353-221.62</f>
        <v>2588.6800000000003</v>
      </c>
      <c r="H377" s="168">
        <f aca="true" t="shared" si="175" ref="H377:I377">3285.5-122.2</f>
        <v>3163.3</v>
      </c>
      <c r="I377" s="168">
        <f t="shared" si="175"/>
        <v>3163.3</v>
      </c>
      <c r="L377" s="272">
        <v>-221.62</v>
      </c>
    </row>
    <row r="378" spans="1:9" ht="31.2">
      <c r="A378" s="312">
        <v>349</v>
      </c>
      <c r="B378" s="256" t="s">
        <v>32</v>
      </c>
      <c r="C378" s="174" t="s">
        <v>433</v>
      </c>
      <c r="D378" s="38" t="s">
        <v>186</v>
      </c>
      <c r="E378" s="38" t="s">
        <v>338</v>
      </c>
      <c r="F378" s="38">
        <v>200</v>
      </c>
      <c r="G378" s="168">
        <f>G379</f>
        <v>286.20000000000005</v>
      </c>
      <c r="H378" s="168">
        <f>H379</f>
        <v>549.2</v>
      </c>
      <c r="I378" s="168">
        <f>I379</f>
        <v>549.2</v>
      </c>
    </row>
    <row r="379" spans="1:9" ht="46.8">
      <c r="A379" s="312">
        <v>350</v>
      </c>
      <c r="B379" s="256" t="s">
        <v>33</v>
      </c>
      <c r="C379" s="174" t="s">
        <v>433</v>
      </c>
      <c r="D379" s="38" t="s">
        <v>186</v>
      </c>
      <c r="E379" s="38" t="s">
        <v>338</v>
      </c>
      <c r="F379" s="38">
        <v>240</v>
      </c>
      <c r="G379" s="168">
        <f>429+122.2-2-263</f>
        <v>286.20000000000005</v>
      </c>
      <c r="H379" s="168">
        <f aca="true" t="shared" si="176" ref="H379:I379">429+122.2-2</f>
        <v>549.2</v>
      </c>
      <c r="I379" s="168">
        <f t="shared" si="176"/>
        <v>549.2</v>
      </c>
    </row>
    <row r="380" spans="1:9" ht="15">
      <c r="A380" s="312">
        <v>351</v>
      </c>
      <c r="B380" s="256" t="s">
        <v>67</v>
      </c>
      <c r="C380" s="174" t="s">
        <v>433</v>
      </c>
      <c r="D380" s="38" t="s">
        <v>186</v>
      </c>
      <c r="E380" s="38" t="s">
        <v>338</v>
      </c>
      <c r="F380" s="38">
        <v>800</v>
      </c>
      <c r="G380" s="168">
        <f>G381</f>
        <v>2</v>
      </c>
      <c r="H380" s="168">
        <f aca="true" t="shared" si="177" ref="H380:I380">H381</f>
        <v>2</v>
      </c>
      <c r="I380" s="168">
        <f t="shared" si="177"/>
        <v>2</v>
      </c>
    </row>
    <row r="381" spans="1:9" ht="15">
      <c r="A381" s="312">
        <v>352</v>
      </c>
      <c r="B381" s="256" t="s">
        <v>221</v>
      </c>
      <c r="C381" s="174" t="s">
        <v>433</v>
      </c>
      <c r="D381" s="38" t="s">
        <v>186</v>
      </c>
      <c r="E381" s="38" t="s">
        <v>338</v>
      </c>
      <c r="F381" s="38">
        <v>850</v>
      </c>
      <c r="G381" s="168">
        <v>2</v>
      </c>
      <c r="H381" s="168">
        <v>2</v>
      </c>
      <c r="I381" s="168">
        <v>2</v>
      </c>
    </row>
    <row r="382" spans="1:9" ht="62.4">
      <c r="A382" s="312">
        <v>353</v>
      </c>
      <c r="B382" s="260" t="s">
        <v>188</v>
      </c>
      <c r="C382" s="174" t="s">
        <v>433</v>
      </c>
      <c r="D382" s="261"/>
      <c r="E382" s="261"/>
      <c r="F382" s="261"/>
      <c r="G382" s="262">
        <f>G383</f>
        <v>23111.5</v>
      </c>
      <c r="H382" s="262">
        <f aca="true" t="shared" si="178" ref="H382:I386">H383</f>
        <v>14700.66</v>
      </c>
      <c r="I382" s="262">
        <f t="shared" si="178"/>
        <v>14700.66</v>
      </c>
    </row>
    <row r="383" spans="1:9" ht="15">
      <c r="A383" s="312">
        <v>354</v>
      </c>
      <c r="B383" s="254" t="s">
        <v>56</v>
      </c>
      <c r="C383" s="174" t="s">
        <v>433</v>
      </c>
      <c r="D383" s="38" t="s">
        <v>59</v>
      </c>
      <c r="E383" s="38"/>
      <c r="F383" s="38"/>
      <c r="G383" s="168">
        <f>G384</f>
        <v>23111.5</v>
      </c>
      <c r="H383" s="168">
        <f t="shared" si="178"/>
        <v>14700.66</v>
      </c>
      <c r="I383" s="168">
        <f t="shared" si="178"/>
        <v>14700.66</v>
      </c>
    </row>
    <row r="384" spans="1:9" ht="15">
      <c r="A384" s="312">
        <v>355</v>
      </c>
      <c r="B384" s="253" t="s">
        <v>70</v>
      </c>
      <c r="C384" s="174" t="s">
        <v>433</v>
      </c>
      <c r="D384" s="38" t="s">
        <v>186</v>
      </c>
      <c r="E384" s="38"/>
      <c r="F384" s="38"/>
      <c r="G384" s="168">
        <f>G385</f>
        <v>23111.5</v>
      </c>
      <c r="H384" s="168">
        <f t="shared" si="178"/>
        <v>14700.66</v>
      </c>
      <c r="I384" s="168">
        <f t="shared" si="178"/>
        <v>14700.66</v>
      </c>
    </row>
    <row r="385" spans="1:9" ht="31.2">
      <c r="A385" s="312">
        <v>356</v>
      </c>
      <c r="B385" s="253" t="s">
        <v>189</v>
      </c>
      <c r="C385" s="174" t="s">
        <v>433</v>
      </c>
      <c r="D385" s="38" t="s">
        <v>186</v>
      </c>
      <c r="E385" s="38" t="s">
        <v>61</v>
      </c>
      <c r="F385" s="38"/>
      <c r="G385" s="168">
        <f>G386</f>
        <v>23111.5</v>
      </c>
      <c r="H385" s="168">
        <f t="shared" si="178"/>
        <v>14700.66</v>
      </c>
      <c r="I385" s="168">
        <f t="shared" si="178"/>
        <v>14700.66</v>
      </c>
    </row>
    <row r="386" spans="1:9" ht="62.4">
      <c r="A386" s="312">
        <v>357</v>
      </c>
      <c r="B386" s="253" t="s">
        <v>190</v>
      </c>
      <c r="C386" s="174" t="s">
        <v>433</v>
      </c>
      <c r="D386" s="38" t="s">
        <v>186</v>
      </c>
      <c r="E386" s="38" t="s">
        <v>191</v>
      </c>
      <c r="F386" s="38"/>
      <c r="G386" s="168">
        <f>G387+G394+G397</f>
        <v>23111.5</v>
      </c>
      <c r="H386" s="168">
        <f t="shared" si="178"/>
        <v>14700.66</v>
      </c>
      <c r="I386" s="168">
        <f t="shared" si="178"/>
        <v>14700.66</v>
      </c>
    </row>
    <row r="387" spans="1:9" ht="78">
      <c r="A387" s="312">
        <v>358</v>
      </c>
      <c r="B387" s="274" t="s">
        <v>187</v>
      </c>
      <c r="C387" s="174" t="s">
        <v>433</v>
      </c>
      <c r="D387" s="38" t="s">
        <v>186</v>
      </c>
      <c r="E387" s="38" t="s">
        <v>192</v>
      </c>
      <c r="F387" s="38"/>
      <c r="G387" s="168">
        <f>G388+G390+G392</f>
        <v>20069.14</v>
      </c>
      <c r="H387" s="168">
        <f aca="true" t="shared" si="179" ref="H387:I387">H388+H390+H392</f>
        <v>14700.66</v>
      </c>
      <c r="I387" s="168">
        <f t="shared" si="179"/>
        <v>14700.66</v>
      </c>
    </row>
    <row r="388" spans="1:10" ht="78">
      <c r="A388" s="312">
        <v>359</v>
      </c>
      <c r="B388" s="256" t="s">
        <v>25</v>
      </c>
      <c r="C388" s="174" t="s">
        <v>433</v>
      </c>
      <c r="D388" s="38" t="s">
        <v>186</v>
      </c>
      <c r="E388" s="38" t="s">
        <v>192</v>
      </c>
      <c r="F388" s="38">
        <v>100</v>
      </c>
      <c r="G388" s="168">
        <f>G389</f>
        <v>18719.44</v>
      </c>
      <c r="H388" s="168">
        <f aca="true" t="shared" si="180" ref="H388:I388">H389</f>
        <v>13724.96</v>
      </c>
      <c r="I388" s="168">
        <f t="shared" si="180"/>
        <v>13724.96</v>
      </c>
      <c r="J388" s="162">
        <v>-372</v>
      </c>
    </row>
    <row r="389" spans="1:12" ht="31.2">
      <c r="A389" s="312">
        <v>360</v>
      </c>
      <c r="B389" s="256" t="s">
        <v>130</v>
      </c>
      <c r="C389" s="174" t="s">
        <v>433</v>
      </c>
      <c r="D389" s="38" t="s">
        <v>186</v>
      </c>
      <c r="E389" s="38" t="s">
        <v>192</v>
      </c>
      <c r="F389" s="38">
        <v>110</v>
      </c>
      <c r="G389" s="168">
        <f>13724.96-2+6.31+1200+2743.82+1155-372+248+15.35</f>
        <v>18719.44</v>
      </c>
      <c r="H389" s="168">
        <v>13724.96</v>
      </c>
      <c r="I389" s="168">
        <v>13724.96</v>
      </c>
      <c r="L389" s="272">
        <f>248+15.35</f>
        <v>263.35</v>
      </c>
    </row>
    <row r="390" spans="1:9" ht="31.2">
      <c r="A390" s="312">
        <v>361</v>
      </c>
      <c r="B390" s="256" t="s">
        <v>32</v>
      </c>
      <c r="C390" s="174" t="s">
        <v>433</v>
      </c>
      <c r="D390" s="38" t="s">
        <v>186</v>
      </c>
      <c r="E390" s="38" t="s">
        <v>192</v>
      </c>
      <c r="F390" s="38">
        <v>200</v>
      </c>
      <c r="G390" s="168">
        <f>G391</f>
        <v>1347.7</v>
      </c>
      <c r="H390" s="168">
        <f aca="true" t="shared" si="181" ref="H390:I390">H391</f>
        <v>973.7</v>
      </c>
      <c r="I390" s="168">
        <f t="shared" si="181"/>
        <v>973.7</v>
      </c>
    </row>
    <row r="391" spans="1:10" ht="46.8">
      <c r="A391" s="312">
        <v>362</v>
      </c>
      <c r="B391" s="256" t="s">
        <v>33</v>
      </c>
      <c r="C391" s="174" t="s">
        <v>433</v>
      </c>
      <c r="D391" s="38" t="s">
        <v>186</v>
      </c>
      <c r="E391" s="38" t="s">
        <v>192</v>
      </c>
      <c r="F391" s="38">
        <v>240</v>
      </c>
      <c r="G391" s="168">
        <f>975.7-2+2+372</f>
        <v>1347.7</v>
      </c>
      <c r="H391" s="168">
        <f aca="true" t="shared" si="182" ref="H391:I391">975.7-2</f>
        <v>973.7</v>
      </c>
      <c r="I391" s="168">
        <f t="shared" si="182"/>
        <v>973.7</v>
      </c>
      <c r="J391" s="162">
        <v>372</v>
      </c>
    </row>
    <row r="392" spans="1:9" ht="15">
      <c r="A392" s="312">
        <v>363</v>
      </c>
      <c r="B392" s="256" t="s">
        <v>67</v>
      </c>
      <c r="C392" s="174" t="s">
        <v>433</v>
      </c>
      <c r="D392" s="38" t="s">
        <v>186</v>
      </c>
      <c r="E392" s="38" t="s">
        <v>192</v>
      </c>
      <c r="F392" s="38">
        <v>800</v>
      </c>
      <c r="G392" s="168">
        <f>G393</f>
        <v>2</v>
      </c>
      <c r="H392" s="168">
        <f aca="true" t="shared" si="183" ref="H392:I392">H393</f>
        <v>2</v>
      </c>
      <c r="I392" s="168">
        <f t="shared" si="183"/>
        <v>2</v>
      </c>
    </row>
    <row r="393" spans="1:9" ht="15">
      <c r="A393" s="312">
        <v>364</v>
      </c>
      <c r="B393" s="256" t="s">
        <v>221</v>
      </c>
      <c r="C393" s="174" t="s">
        <v>433</v>
      </c>
      <c r="D393" s="38" t="s">
        <v>186</v>
      </c>
      <c r="E393" s="38" t="s">
        <v>192</v>
      </c>
      <c r="F393" s="38">
        <v>850</v>
      </c>
      <c r="G393" s="168">
        <v>2</v>
      </c>
      <c r="H393" s="168">
        <v>2</v>
      </c>
      <c r="I393" s="168">
        <v>2</v>
      </c>
    </row>
    <row r="394" spans="1:9" ht="93.6">
      <c r="A394" s="312">
        <v>365</v>
      </c>
      <c r="B394" s="253" t="s">
        <v>587</v>
      </c>
      <c r="C394" s="174" t="s">
        <v>433</v>
      </c>
      <c r="D394" s="38" t="s">
        <v>186</v>
      </c>
      <c r="E394" s="38" t="s">
        <v>586</v>
      </c>
      <c r="F394" s="38"/>
      <c r="G394" s="168">
        <f>G395</f>
        <v>2500.29</v>
      </c>
      <c r="H394" s="168">
        <f aca="true" t="shared" si="184" ref="H394:I395">H395</f>
        <v>0</v>
      </c>
      <c r="I394" s="168">
        <f t="shared" si="184"/>
        <v>0</v>
      </c>
    </row>
    <row r="395" spans="1:9" ht="78">
      <c r="A395" s="312">
        <v>366</v>
      </c>
      <c r="B395" s="256" t="s">
        <v>25</v>
      </c>
      <c r="C395" s="174" t="s">
        <v>433</v>
      </c>
      <c r="D395" s="38" t="s">
        <v>186</v>
      </c>
      <c r="E395" s="38" t="s">
        <v>586</v>
      </c>
      <c r="F395" s="38">
        <v>100</v>
      </c>
      <c r="G395" s="168">
        <f>G396</f>
        <v>2500.29</v>
      </c>
      <c r="H395" s="168">
        <f t="shared" si="184"/>
        <v>0</v>
      </c>
      <c r="I395" s="168">
        <f t="shared" si="184"/>
        <v>0</v>
      </c>
    </row>
    <row r="396" spans="1:9" ht="31.2">
      <c r="A396" s="312">
        <v>367</v>
      </c>
      <c r="B396" s="256" t="s">
        <v>130</v>
      </c>
      <c r="C396" s="174" t="s">
        <v>433</v>
      </c>
      <c r="D396" s="38" t="s">
        <v>186</v>
      </c>
      <c r="E396" s="38" t="s">
        <v>586</v>
      </c>
      <c r="F396" s="38">
        <v>110</v>
      </c>
      <c r="G396" s="168">
        <v>2500.29</v>
      </c>
      <c r="H396" s="168">
        <v>0</v>
      </c>
      <c r="I396" s="168">
        <v>0</v>
      </c>
    </row>
    <row r="397" spans="1:9" ht="93.6">
      <c r="A397" s="312">
        <v>368</v>
      </c>
      <c r="B397" s="253" t="s">
        <v>589</v>
      </c>
      <c r="C397" s="174" t="s">
        <v>433</v>
      </c>
      <c r="D397" s="38" t="s">
        <v>186</v>
      </c>
      <c r="E397" s="38" t="s">
        <v>588</v>
      </c>
      <c r="F397" s="38"/>
      <c r="G397" s="168">
        <f>G398</f>
        <v>542.07</v>
      </c>
      <c r="H397" s="168">
        <f aca="true" t="shared" si="185" ref="H397:I398">H398</f>
        <v>0</v>
      </c>
      <c r="I397" s="168">
        <f t="shared" si="185"/>
        <v>0</v>
      </c>
    </row>
    <row r="398" spans="1:9" ht="78">
      <c r="A398" s="312">
        <v>369</v>
      </c>
      <c r="B398" s="256" t="s">
        <v>25</v>
      </c>
      <c r="C398" s="174" t="s">
        <v>433</v>
      </c>
      <c r="D398" s="38" t="s">
        <v>186</v>
      </c>
      <c r="E398" s="38" t="s">
        <v>588</v>
      </c>
      <c r="F398" s="38">
        <v>100</v>
      </c>
      <c r="G398" s="168">
        <f>G399</f>
        <v>542.07</v>
      </c>
      <c r="H398" s="168">
        <f t="shared" si="185"/>
        <v>0</v>
      </c>
      <c r="I398" s="168">
        <f t="shared" si="185"/>
        <v>0</v>
      </c>
    </row>
    <row r="399" spans="1:9" ht="31.2">
      <c r="A399" s="312">
        <v>370</v>
      </c>
      <c r="B399" s="256" t="s">
        <v>130</v>
      </c>
      <c r="C399" s="174" t="s">
        <v>433</v>
      </c>
      <c r="D399" s="38" t="s">
        <v>186</v>
      </c>
      <c r="E399" s="38" t="s">
        <v>588</v>
      </c>
      <c r="F399" s="38">
        <v>110</v>
      </c>
      <c r="G399" s="168">
        <f>542.07</f>
        <v>542.07</v>
      </c>
      <c r="H399" s="168">
        <v>0</v>
      </c>
      <c r="I399" s="168">
        <v>0</v>
      </c>
    </row>
    <row r="400" spans="1:9" ht="31.2">
      <c r="A400" s="312">
        <v>371</v>
      </c>
      <c r="B400" s="260" t="s">
        <v>340</v>
      </c>
      <c r="C400" s="174" t="s">
        <v>433</v>
      </c>
      <c r="D400" s="38"/>
      <c r="E400" s="38"/>
      <c r="F400" s="38"/>
      <c r="G400" s="168">
        <f>G401+G419+G426+G436+G446</f>
        <v>7810.320000000001</v>
      </c>
      <c r="H400" s="168">
        <f>H401+H419+H426+H436+H446</f>
        <v>7894.77</v>
      </c>
      <c r="I400" s="168">
        <f>I401+I419+I426+I436+I446</f>
        <v>55894.770000000004</v>
      </c>
    </row>
    <row r="401" spans="1:9" ht="15">
      <c r="A401" s="312">
        <v>372</v>
      </c>
      <c r="B401" s="254" t="s">
        <v>56</v>
      </c>
      <c r="C401" s="174" t="s">
        <v>433</v>
      </c>
      <c r="D401" s="38" t="s">
        <v>59</v>
      </c>
      <c r="E401" s="38"/>
      <c r="F401" s="38"/>
      <c r="G401" s="168">
        <f>G402</f>
        <v>5644.72</v>
      </c>
      <c r="H401" s="168">
        <f aca="true" t="shared" si="186" ref="H401:I401">H402</f>
        <v>5379.17</v>
      </c>
      <c r="I401" s="168">
        <f t="shared" si="186"/>
        <v>5379.17</v>
      </c>
    </row>
    <row r="402" spans="1:9" ht="15">
      <c r="A402" s="312">
        <v>373</v>
      </c>
      <c r="B402" s="253" t="s">
        <v>70</v>
      </c>
      <c r="C402" s="174" t="s">
        <v>433</v>
      </c>
      <c r="D402" s="38" t="s">
        <v>186</v>
      </c>
      <c r="E402" s="38"/>
      <c r="F402" s="38"/>
      <c r="G402" s="168">
        <f>G403+G412</f>
        <v>5644.72</v>
      </c>
      <c r="H402" s="168">
        <f>H403+H412</f>
        <v>5379.17</v>
      </c>
      <c r="I402" s="168">
        <f>I403+I412</f>
        <v>5379.17</v>
      </c>
    </row>
    <row r="403" spans="1:9" ht="62.4">
      <c r="A403" s="312">
        <v>374</v>
      </c>
      <c r="B403" s="257" t="s">
        <v>278</v>
      </c>
      <c r="C403" s="174" t="s">
        <v>433</v>
      </c>
      <c r="D403" s="38" t="s">
        <v>186</v>
      </c>
      <c r="E403" s="38">
        <v>1000000000</v>
      </c>
      <c r="F403" s="38"/>
      <c r="G403" s="168">
        <f>G404</f>
        <v>5427.87</v>
      </c>
      <c r="H403" s="168">
        <f aca="true" t="shared" si="187" ref="H403:I403">H404</f>
        <v>5161.17</v>
      </c>
      <c r="I403" s="168">
        <f t="shared" si="187"/>
        <v>5161.17</v>
      </c>
    </row>
    <row r="404" spans="1:9" s="162" customFormat="1" ht="31.2">
      <c r="A404" s="312">
        <v>375</v>
      </c>
      <c r="B404" s="253" t="s">
        <v>136</v>
      </c>
      <c r="C404" s="174" t="s">
        <v>433</v>
      </c>
      <c r="D404" s="38" t="s">
        <v>186</v>
      </c>
      <c r="E404" s="38">
        <v>1030000000</v>
      </c>
      <c r="F404" s="38"/>
      <c r="G404" s="168">
        <f>G405</f>
        <v>5427.87</v>
      </c>
      <c r="H404" s="168">
        <f aca="true" t="shared" si="188" ref="H404:I404">H405</f>
        <v>5161.17</v>
      </c>
      <c r="I404" s="168">
        <f t="shared" si="188"/>
        <v>5161.17</v>
      </c>
    </row>
    <row r="405" spans="1:9" ht="62.4">
      <c r="A405" s="312">
        <v>376</v>
      </c>
      <c r="B405" s="253" t="s">
        <v>341</v>
      </c>
      <c r="C405" s="174" t="s">
        <v>433</v>
      </c>
      <c r="D405" s="38" t="s">
        <v>186</v>
      </c>
      <c r="E405" s="38">
        <v>1030000610</v>
      </c>
      <c r="F405" s="38"/>
      <c r="G405" s="168">
        <f>G406+G408+G410</f>
        <v>5427.87</v>
      </c>
      <c r="H405" s="168">
        <f aca="true" t="shared" si="189" ref="H405:I405">H406+H408+H410</f>
        <v>5161.17</v>
      </c>
      <c r="I405" s="168">
        <f t="shared" si="189"/>
        <v>5161.17</v>
      </c>
    </row>
    <row r="406" spans="1:9" ht="78">
      <c r="A406" s="312">
        <v>377</v>
      </c>
      <c r="B406" s="256" t="s">
        <v>25</v>
      </c>
      <c r="C406" s="174" t="s">
        <v>433</v>
      </c>
      <c r="D406" s="38" t="s">
        <v>186</v>
      </c>
      <c r="E406" s="38">
        <v>1030000610</v>
      </c>
      <c r="F406" s="38">
        <v>100</v>
      </c>
      <c r="G406" s="168">
        <f>G407</f>
        <v>3995.8599999999997</v>
      </c>
      <c r="H406" s="168">
        <f aca="true" t="shared" si="190" ref="H406:I406">H407</f>
        <v>4143.76</v>
      </c>
      <c r="I406" s="168">
        <f t="shared" si="190"/>
        <v>4143.76</v>
      </c>
    </row>
    <row r="407" spans="1:12" ht="31.2">
      <c r="A407" s="312">
        <v>378</v>
      </c>
      <c r="B407" s="271" t="s">
        <v>130</v>
      </c>
      <c r="C407" s="174" t="s">
        <v>433</v>
      </c>
      <c r="D407" s="38" t="s">
        <v>186</v>
      </c>
      <c r="E407" s="38">
        <v>1030000610</v>
      </c>
      <c r="F407" s="38">
        <v>110</v>
      </c>
      <c r="G407" s="168">
        <f>4143.76+0.78+33.2+0.12-182</f>
        <v>3995.8599999999997</v>
      </c>
      <c r="H407" s="168">
        <v>4143.76</v>
      </c>
      <c r="I407" s="168">
        <v>4143.76</v>
      </c>
      <c r="J407" s="162">
        <v>0.12</v>
      </c>
      <c r="L407" s="272">
        <v>-182</v>
      </c>
    </row>
    <row r="408" spans="1:9" ht="31.2">
      <c r="A408" s="312">
        <v>379</v>
      </c>
      <c r="B408" s="256" t="s">
        <v>32</v>
      </c>
      <c r="C408" s="174" t="s">
        <v>433</v>
      </c>
      <c r="D408" s="38" t="s">
        <v>186</v>
      </c>
      <c r="E408" s="38">
        <v>1030000610</v>
      </c>
      <c r="F408" s="38">
        <v>200</v>
      </c>
      <c r="G408" s="168">
        <f>G409</f>
        <v>1430.1299999999999</v>
      </c>
      <c r="H408" s="168">
        <f aca="true" t="shared" si="191" ref="H408:I408">H409</f>
        <v>1015.41</v>
      </c>
      <c r="I408" s="168">
        <f t="shared" si="191"/>
        <v>1015.41</v>
      </c>
    </row>
    <row r="409" spans="1:9" ht="46.8">
      <c r="A409" s="312">
        <v>380</v>
      </c>
      <c r="B409" s="256" t="s">
        <v>33</v>
      </c>
      <c r="C409" s="174" t="s">
        <v>433</v>
      </c>
      <c r="D409" s="38" t="s">
        <v>186</v>
      </c>
      <c r="E409" s="38">
        <v>1030000610</v>
      </c>
      <c r="F409" s="38">
        <v>240</v>
      </c>
      <c r="G409" s="168">
        <f>1017.41+423-2-0.78-22.5-110+125</f>
        <v>1430.1299999999999</v>
      </c>
      <c r="H409" s="168">
        <f>1017.41-2</f>
        <v>1015.41</v>
      </c>
      <c r="I409" s="168">
        <f>1017.41-2</f>
        <v>1015.41</v>
      </c>
    </row>
    <row r="410" spans="1:9" ht="15">
      <c r="A410" s="312">
        <v>381</v>
      </c>
      <c r="B410" s="256" t="s">
        <v>67</v>
      </c>
      <c r="C410" s="174" t="s">
        <v>433</v>
      </c>
      <c r="D410" s="38" t="s">
        <v>186</v>
      </c>
      <c r="E410" s="38">
        <v>1030000610</v>
      </c>
      <c r="F410" s="38">
        <v>800</v>
      </c>
      <c r="G410" s="168">
        <f>G411</f>
        <v>1.88</v>
      </c>
      <c r="H410" s="168">
        <f aca="true" t="shared" si="192" ref="H410:I410">H411</f>
        <v>2</v>
      </c>
      <c r="I410" s="168">
        <f t="shared" si="192"/>
        <v>2</v>
      </c>
    </row>
    <row r="411" spans="1:10" ht="15">
      <c r="A411" s="312">
        <v>382</v>
      </c>
      <c r="B411" s="256" t="s">
        <v>221</v>
      </c>
      <c r="C411" s="174" t="s">
        <v>433</v>
      </c>
      <c r="D411" s="38" t="s">
        <v>186</v>
      </c>
      <c r="E411" s="38">
        <v>1030000610</v>
      </c>
      <c r="F411" s="38">
        <v>850</v>
      </c>
      <c r="G411" s="168">
        <f>2-0.12</f>
        <v>1.88</v>
      </c>
      <c r="H411" s="168">
        <v>2</v>
      </c>
      <c r="I411" s="168">
        <v>2</v>
      </c>
      <c r="J411" s="162">
        <v>-0.12</v>
      </c>
    </row>
    <row r="412" spans="1:9" s="162" customFormat="1" ht="31.2">
      <c r="A412" s="312">
        <v>383</v>
      </c>
      <c r="B412" s="256" t="s">
        <v>36</v>
      </c>
      <c r="C412" s="38" t="s">
        <v>58</v>
      </c>
      <c r="D412" s="38" t="s">
        <v>186</v>
      </c>
      <c r="E412" s="38">
        <v>9170000000</v>
      </c>
      <c r="F412" s="38"/>
      <c r="G412" s="168">
        <f>G413+G416</f>
        <v>216.85</v>
      </c>
      <c r="H412" s="168">
        <f>H413+H416</f>
        <v>218</v>
      </c>
      <c r="I412" s="168">
        <f>I413+I416</f>
        <v>218</v>
      </c>
    </row>
    <row r="413" spans="1:9" ht="46.8">
      <c r="A413" s="312">
        <v>384</v>
      </c>
      <c r="B413" s="269" t="s">
        <v>74</v>
      </c>
      <c r="C413" s="38" t="s">
        <v>58</v>
      </c>
      <c r="D413" s="38" t="s">
        <v>186</v>
      </c>
      <c r="E413" s="38">
        <v>9170075550</v>
      </c>
      <c r="F413" s="38"/>
      <c r="G413" s="168">
        <f>G414</f>
        <v>192.85</v>
      </c>
      <c r="H413" s="168">
        <f aca="true" t="shared" si="193" ref="H413:I414">H414</f>
        <v>194</v>
      </c>
      <c r="I413" s="168">
        <f t="shared" si="193"/>
        <v>194</v>
      </c>
    </row>
    <row r="414" spans="1:9" ht="31.2">
      <c r="A414" s="312">
        <v>385</v>
      </c>
      <c r="B414" s="256" t="s">
        <v>32</v>
      </c>
      <c r="C414" s="38" t="s">
        <v>58</v>
      </c>
      <c r="D414" s="38" t="s">
        <v>186</v>
      </c>
      <c r="E414" s="38">
        <v>9170075550</v>
      </c>
      <c r="F414" s="38">
        <v>200</v>
      </c>
      <c r="G414" s="168">
        <f>G415</f>
        <v>192.85</v>
      </c>
      <c r="H414" s="168">
        <f t="shared" si="193"/>
        <v>194</v>
      </c>
      <c r="I414" s="168">
        <f t="shared" si="193"/>
        <v>194</v>
      </c>
    </row>
    <row r="415" spans="1:11" ht="46.8">
      <c r="A415" s="312">
        <v>386</v>
      </c>
      <c r="B415" s="256" t="s">
        <v>33</v>
      </c>
      <c r="C415" s="38" t="s">
        <v>58</v>
      </c>
      <c r="D415" s="38" t="s">
        <v>186</v>
      </c>
      <c r="E415" s="38">
        <v>9170075550</v>
      </c>
      <c r="F415" s="38">
        <v>240</v>
      </c>
      <c r="G415" s="168">
        <f>194-1.15</f>
        <v>192.85</v>
      </c>
      <c r="H415" s="168">
        <v>194</v>
      </c>
      <c r="I415" s="168">
        <v>194</v>
      </c>
      <c r="K415" s="237">
        <v>-1.15</v>
      </c>
    </row>
    <row r="416" spans="1:9" ht="46.8">
      <c r="A416" s="312">
        <v>387</v>
      </c>
      <c r="B416" s="253" t="s">
        <v>77</v>
      </c>
      <c r="C416" s="38" t="s">
        <v>58</v>
      </c>
      <c r="D416" s="38" t="s">
        <v>186</v>
      </c>
      <c r="E416" s="38" t="s">
        <v>78</v>
      </c>
      <c r="F416" s="38"/>
      <c r="G416" s="168">
        <f>G417</f>
        <v>24</v>
      </c>
      <c r="H416" s="168">
        <f aca="true" t="shared" si="194" ref="H416:I416">H417</f>
        <v>24</v>
      </c>
      <c r="I416" s="168">
        <f t="shared" si="194"/>
        <v>24</v>
      </c>
    </row>
    <row r="417" spans="1:9" ht="31.2">
      <c r="A417" s="312">
        <v>388</v>
      </c>
      <c r="B417" s="256" t="s">
        <v>32</v>
      </c>
      <c r="C417" s="38" t="s">
        <v>58</v>
      </c>
      <c r="D417" s="38" t="s">
        <v>186</v>
      </c>
      <c r="E417" s="38" t="s">
        <v>78</v>
      </c>
      <c r="F417" s="38">
        <v>200</v>
      </c>
      <c r="G417" s="168">
        <f>G418</f>
        <v>24</v>
      </c>
      <c r="H417" s="168">
        <f aca="true" t="shared" si="195" ref="H417:I417">H418</f>
        <v>24</v>
      </c>
      <c r="I417" s="168">
        <f t="shared" si="195"/>
        <v>24</v>
      </c>
    </row>
    <row r="418" spans="1:9" ht="46.8">
      <c r="A418" s="312">
        <v>389</v>
      </c>
      <c r="B418" s="256" t="s">
        <v>33</v>
      </c>
      <c r="C418" s="38" t="s">
        <v>58</v>
      </c>
      <c r="D418" s="38" t="s">
        <v>186</v>
      </c>
      <c r="E418" s="38" t="s">
        <v>78</v>
      </c>
      <c r="F418" s="38">
        <v>240</v>
      </c>
      <c r="G418" s="168">
        <v>24</v>
      </c>
      <c r="H418" s="168">
        <v>24</v>
      </c>
      <c r="I418" s="168">
        <v>24</v>
      </c>
    </row>
    <row r="419" spans="1:9" ht="15">
      <c r="A419" s="312">
        <v>390</v>
      </c>
      <c r="B419" s="263" t="s">
        <v>38</v>
      </c>
      <c r="C419" s="38" t="s">
        <v>58</v>
      </c>
      <c r="D419" s="38" t="s">
        <v>391</v>
      </c>
      <c r="E419" s="38"/>
      <c r="F419" s="38"/>
      <c r="G419" s="168">
        <f aca="true" t="shared" si="196" ref="G419:G424">G420</f>
        <v>515.6</v>
      </c>
      <c r="H419" s="168">
        <f aca="true" t="shared" si="197" ref="H419:I420">H420</f>
        <v>515.6</v>
      </c>
      <c r="I419" s="168">
        <f t="shared" si="197"/>
        <v>515.6</v>
      </c>
    </row>
    <row r="420" spans="1:9" ht="31.2">
      <c r="A420" s="312">
        <v>391</v>
      </c>
      <c r="B420" s="253" t="s">
        <v>93</v>
      </c>
      <c r="C420" s="38" t="s">
        <v>58</v>
      </c>
      <c r="D420" s="38" t="s">
        <v>404</v>
      </c>
      <c r="E420" s="38"/>
      <c r="F420" s="38"/>
      <c r="G420" s="168">
        <f t="shared" si="196"/>
        <v>515.6</v>
      </c>
      <c r="H420" s="168">
        <f t="shared" si="197"/>
        <v>515.6</v>
      </c>
      <c r="I420" s="168">
        <f t="shared" si="197"/>
        <v>515.6</v>
      </c>
    </row>
    <row r="421" spans="1:9" ht="62.4">
      <c r="A421" s="312">
        <v>392</v>
      </c>
      <c r="B421" s="40" t="s">
        <v>491</v>
      </c>
      <c r="C421" s="38" t="s">
        <v>58</v>
      </c>
      <c r="D421" s="38" t="s">
        <v>404</v>
      </c>
      <c r="E421" s="38">
        <v>1400000000</v>
      </c>
      <c r="F421" s="38"/>
      <c r="G421" s="168">
        <f t="shared" si="196"/>
        <v>515.6</v>
      </c>
      <c r="H421" s="168">
        <f aca="true" t="shared" si="198" ref="H421:I423">H422</f>
        <v>515.6</v>
      </c>
      <c r="I421" s="168">
        <f t="shared" si="198"/>
        <v>515.6</v>
      </c>
    </row>
    <row r="422" spans="1:9" ht="15">
      <c r="A422" s="312">
        <v>393</v>
      </c>
      <c r="B422" s="257" t="s">
        <v>80</v>
      </c>
      <c r="C422" s="38" t="s">
        <v>58</v>
      </c>
      <c r="D422" s="38" t="s">
        <v>404</v>
      </c>
      <c r="E422" s="38">
        <v>1490000000</v>
      </c>
      <c r="F422" s="38"/>
      <c r="G422" s="168">
        <f t="shared" si="196"/>
        <v>515.6</v>
      </c>
      <c r="H422" s="168">
        <f t="shared" si="198"/>
        <v>515.6</v>
      </c>
      <c r="I422" s="168">
        <f t="shared" si="198"/>
        <v>515.6</v>
      </c>
    </row>
    <row r="423" spans="1:9" ht="62.4">
      <c r="A423" s="312">
        <v>394</v>
      </c>
      <c r="B423" s="254" t="s">
        <v>97</v>
      </c>
      <c r="C423" s="38" t="s">
        <v>58</v>
      </c>
      <c r="D423" s="38" t="s">
        <v>404</v>
      </c>
      <c r="E423" s="38">
        <v>1490075180</v>
      </c>
      <c r="F423" s="38"/>
      <c r="G423" s="168">
        <f t="shared" si="196"/>
        <v>515.6</v>
      </c>
      <c r="H423" s="168">
        <f t="shared" si="198"/>
        <v>515.6</v>
      </c>
      <c r="I423" s="168">
        <f t="shared" si="198"/>
        <v>515.6</v>
      </c>
    </row>
    <row r="424" spans="1:9" ht="31.2">
      <c r="A424" s="312">
        <v>395</v>
      </c>
      <c r="B424" s="256" t="s">
        <v>32</v>
      </c>
      <c r="C424" s="38" t="s">
        <v>58</v>
      </c>
      <c r="D424" s="38" t="s">
        <v>404</v>
      </c>
      <c r="E424" s="38">
        <v>1490075180</v>
      </c>
      <c r="F424" s="38">
        <v>200</v>
      </c>
      <c r="G424" s="168">
        <f t="shared" si="196"/>
        <v>515.6</v>
      </c>
      <c r="H424" s="168">
        <f aca="true" t="shared" si="199" ref="H424:I424">H425</f>
        <v>515.6</v>
      </c>
      <c r="I424" s="168">
        <f t="shared" si="199"/>
        <v>515.6</v>
      </c>
    </row>
    <row r="425" spans="1:9" ht="46.8">
      <c r="A425" s="312">
        <v>396</v>
      </c>
      <c r="B425" s="256" t="s">
        <v>33</v>
      </c>
      <c r="C425" s="38" t="s">
        <v>58</v>
      </c>
      <c r="D425" s="38" t="s">
        <v>404</v>
      </c>
      <c r="E425" s="38">
        <v>1490075180</v>
      </c>
      <c r="F425" s="38">
        <v>240</v>
      </c>
      <c r="G425" s="168">
        <v>515.6</v>
      </c>
      <c r="H425" s="168">
        <v>515.6</v>
      </c>
      <c r="I425" s="168">
        <v>515.6</v>
      </c>
    </row>
    <row r="426" spans="1:9" ht="15">
      <c r="A426" s="312">
        <v>397</v>
      </c>
      <c r="B426" s="253" t="s">
        <v>98</v>
      </c>
      <c r="C426" s="38" t="s">
        <v>58</v>
      </c>
      <c r="D426" s="38" t="s">
        <v>393</v>
      </c>
      <c r="E426" s="38"/>
      <c r="F426" s="38"/>
      <c r="G426" s="168">
        <f>G427</f>
        <v>0</v>
      </c>
      <c r="H426" s="168">
        <f aca="true" t="shared" si="200" ref="H426:I428">H427</f>
        <v>0</v>
      </c>
      <c r="I426" s="168">
        <f t="shared" si="200"/>
        <v>0</v>
      </c>
    </row>
    <row r="427" spans="1:9" ht="15">
      <c r="A427" s="312">
        <v>398</v>
      </c>
      <c r="B427" s="253" t="s">
        <v>99</v>
      </c>
      <c r="C427" s="38" t="s">
        <v>58</v>
      </c>
      <c r="D427" s="38" t="s">
        <v>394</v>
      </c>
      <c r="E427" s="38"/>
      <c r="F427" s="38"/>
      <c r="G427" s="168">
        <f>G428</f>
        <v>0</v>
      </c>
      <c r="H427" s="168">
        <f t="shared" si="200"/>
        <v>0</v>
      </c>
      <c r="I427" s="168">
        <f t="shared" si="200"/>
        <v>0</v>
      </c>
    </row>
    <row r="428" spans="1:9" ht="62.4">
      <c r="A428" s="312">
        <v>399</v>
      </c>
      <c r="B428" s="257" t="s">
        <v>278</v>
      </c>
      <c r="C428" s="174" t="s">
        <v>433</v>
      </c>
      <c r="D428" s="38" t="s">
        <v>394</v>
      </c>
      <c r="E428" s="38">
        <v>1000000000</v>
      </c>
      <c r="F428" s="38"/>
      <c r="G428" s="168">
        <f>G429</f>
        <v>0</v>
      </c>
      <c r="H428" s="168">
        <f t="shared" si="200"/>
        <v>0</v>
      </c>
      <c r="I428" s="168">
        <f t="shared" si="200"/>
        <v>0</v>
      </c>
    </row>
    <row r="429" spans="1:9" ht="46.8">
      <c r="A429" s="312">
        <v>400</v>
      </c>
      <c r="B429" s="257" t="s">
        <v>503</v>
      </c>
      <c r="C429" s="174" t="s">
        <v>433</v>
      </c>
      <c r="D429" s="38" t="s">
        <v>394</v>
      </c>
      <c r="E429" s="38">
        <v>1020000000</v>
      </c>
      <c r="F429" s="38"/>
      <c r="G429" s="168">
        <f>G430+G433</f>
        <v>0</v>
      </c>
      <c r="H429" s="168">
        <f aca="true" t="shared" si="201" ref="H429:I429">H430+H433</f>
        <v>0</v>
      </c>
      <c r="I429" s="168">
        <f t="shared" si="201"/>
        <v>0</v>
      </c>
    </row>
    <row r="430" spans="1:9" ht="31.2" hidden="1">
      <c r="A430" s="312"/>
      <c r="B430" s="257" t="s">
        <v>506</v>
      </c>
      <c r="C430" s="174" t="s">
        <v>433</v>
      </c>
      <c r="D430" s="38" t="s">
        <v>394</v>
      </c>
      <c r="E430" s="38">
        <v>1020087120</v>
      </c>
      <c r="F430" s="38"/>
      <c r="G430" s="168">
        <f>G431</f>
        <v>0</v>
      </c>
      <c r="H430" s="168">
        <f aca="true" t="shared" si="202" ref="H430:I431">H431</f>
        <v>0</v>
      </c>
      <c r="I430" s="168">
        <f t="shared" si="202"/>
        <v>0</v>
      </c>
    </row>
    <row r="431" spans="1:9" ht="31.2" hidden="1">
      <c r="A431" s="312"/>
      <c r="B431" s="256" t="s">
        <v>32</v>
      </c>
      <c r="C431" s="174" t="s">
        <v>433</v>
      </c>
      <c r="D431" s="38" t="s">
        <v>394</v>
      </c>
      <c r="E431" s="38">
        <v>1020087120</v>
      </c>
      <c r="F431" s="38">
        <v>200</v>
      </c>
      <c r="G431" s="168">
        <f>G432</f>
        <v>0</v>
      </c>
      <c r="H431" s="168">
        <f t="shared" si="202"/>
        <v>0</v>
      </c>
      <c r="I431" s="168">
        <f t="shared" si="202"/>
        <v>0</v>
      </c>
    </row>
    <row r="432" spans="1:9" ht="46.8" hidden="1">
      <c r="A432" s="312"/>
      <c r="B432" s="256" t="s">
        <v>33</v>
      </c>
      <c r="C432" s="174" t="s">
        <v>433</v>
      </c>
      <c r="D432" s="38" t="s">
        <v>394</v>
      </c>
      <c r="E432" s="38">
        <v>1020087120</v>
      </c>
      <c r="F432" s="38">
        <v>240</v>
      </c>
      <c r="G432" s="168">
        <f>25000-25000</f>
        <v>0</v>
      </c>
      <c r="H432" s="168">
        <v>0</v>
      </c>
      <c r="I432" s="168">
        <v>0</v>
      </c>
    </row>
    <row r="433" spans="1:9" ht="62.4">
      <c r="A433" s="312">
        <v>401</v>
      </c>
      <c r="B433" s="265" t="s">
        <v>516</v>
      </c>
      <c r="C433" s="174" t="s">
        <v>433</v>
      </c>
      <c r="D433" s="38" t="s">
        <v>394</v>
      </c>
      <c r="E433" s="38">
        <v>1020087130</v>
      </c>
      <c r="F433" s="38"/>
      <c r="G433" s="168">
        <f>G434</f>
        <v>0</v>
      </c>
      <c r="H433" s="168">
        <f aca="true" t="shared" si="203" ref="H433:I434">H434</f>
        <v>0</v>
      </c>
      <c r="I433" s="168">
        <f t="shared" si="203"/>
        <v>0</v>
      </c>
    </row>
    <row r="434" spans="1:9" ht="31.2">
      <c r="A434" s="312">
        <v>402</v>
      </c>
      <c r="B434" s="256" t="s">
        <v>32</v>
      </c>
      <c r="C434" s="174" t="s">
        <v>433</v>
      </c>
      <c r="D434" s="38" t="s">
        <v>394</v>
      </c>
      <c r="E434" s="38">
        <v>1020087130</v>
      </c>
      <c r="F434" s="38">
        <v>200</v>
      </c>
      <c r="G434" s="168">
        <f>G435</f>
        <v>0</v>
      </c>
      <c r="H434" s="168">
        <f t="shared" si="203"/>
        <v>0</v>
      </c>
      <c r="I434" s="168">
        <f t="shared" si="203"/>
        <v>0</v>
      </c>
    </row>
    <row r="435" spans="1:12" ht="46.8">
      <c r="A435" s="312">
        <v>403</v>
      </c>
      <c r="B435" s="256" t="s">
        <v>33</v>
      </c>
      <c r="C435" s="174" t="s">
        <v>433</v>
      </c>
      <c r="D435" s="38" t="s">
        <v>394</v>
      </c>
      <c r="E435" s="38">
        <v>1020087130</v>
      </c>
      <c r="F435" s="38">
        <v>240</v>
      </c>
      <c r="G435" s="168">
        <f>3000-3000</f>
        <v>0</v>
      </c>
      <c r="H435" s="168">
        <f>3000-3000</f>
        <v>0</v>
      </c>
      <c r="I435" s="168">
        <v>0</v>
      </c>
      <c r="L435" s="22"/>
    </row>
    <row r="436" spans="1:9" ht="15">
      <c r="A436" s="312">
        <v>404</v>
      </c>
      <c r="B436" s="254" t="s">
        <v>106</v>
      </c>
      <c r="C436" s="38" t="s">
        <v>58</v>
      </c>
      <c r="D436" s="38" t="s">
        <v>405</v>
      </c>
      <c r="E436" s="38"/>
      <c r="F436" s="38"/>
      <c r="G436" s="168">
        <f aca="true" t="shared" si="204" ref="G436:I441">G437</f>
        <v>0</v>
      </c>
      <c r="H436" s="168">
        <f aca="true" t="shared" si="205" ref="H436:I438">H437</f>
        <v>2000</v>
      </c>
      <c r="I436" s="168">
        <f t="shared" si="205"/>
        <v>50000</v>
      </c>
    </row>
    <row r="437" spans="1:9" ht="15">
      <c r="A437" s="312">
        <v>405</v>
      </c>
      <c r="B437" s="256" t="s">
        <v>107</v>
      </c>
      <c r="C437" s="38" t="s">
        <v>58</v>
      </c>
      <c r="D437" s="38" t="s">
        <v>406</v>
      </c>
      <c r="E437" s="38"/>
      <c r="F437" s="38"/>
      <c r="G437" s="168">
        <f t="shared" si="204"/>
        <v>0</v>
      </c>
      <c r="H437" s="168">
        <f t="shared" si="205"/>
        <v>2000</v>
      </c>
      <c r="I437" s="168">
        <f t="shared" si="205"/>
        <v>50000</v>
      </c>
    </row>
    <row r="438" spans="1:9" ht="62.4">
      <c r="A438" s="312">
        <v>406</v>
      </c>
      <c r="B438" s="257" t="s">
        <v>278</v>
      </c>
      <c r="C438" s="174" t="s">
        <v>433</v>
      </c>
      <c r="D438" s="38" t="s">
        <v>406</v>
      </c>
      <c r="E438" s="38">
        <v>1000000000</v>
      </c>
      <c r="F438" s="38"/>
      <c r="G438" s="168">
        <f t="shared" si="204"/>
        <v>0</v>
      </c>
      <c r="H438" s="168">
        <f t="shared" si="205"/>
        <v>2000</v>
      </c>
      <c r="I438" s="168">
        <f t="shared" si="205"/>
        <v>50000</v>
      </c>
    </row>
    <row r="439" spans="1:9" ht="46.8">
      <c r="A439" s="312">
        <v>407</v>
      </c>
      <c r="B439" s="257" t="s">
        <v>503</v>
      </c>
      <c r="C439" s="174" t="s">
        <v>433</v>
      </c>
      <c r="D439" s="38" t="s">
        <v>406</v>
      </c>
      <c r="E439" s="38">
        <v>1020000000</v>
      </c>
      <c r="F439" s="38"/>
      <c r="G439" s="168">
        <f>G440+G443</f>
        <v>0</v>
      </c>
      <c r="H439" s="168">
        <f aca="true" t="shared" si="206" ref="H439:I439">H440+H443</f>
        <v>2000</v>
      </c>
      <c r="I439" s="168">
        <f t="shared" si="206"/>
        <v>50000</v>
      </c>
    </row>
    <row r="440" spans="1:9" ht="15">
      <c r="A440" s="312">
        <v>408</v>
      </c>
      <c r="B440" s="257" t="s">
        <v>505</v>
      </c>
      <c r="C440" s="174" t="s">
        <v>433</v>
      </c>
      <c r="D440" s="38" t="s">
        <v>406</v>
      </c>
      <c r="E440" s="38">
        <v>1020087110</v>
      </c>
      <c r="F440" s="38"/>
      <c r="G440" s="168">
        <f t="shared" si="204"/>
        <v>0</v>
      </c>
      <c r="H440" s="168">
        <f t="shared" si="204"/>
        <v>2000</v>
      </c>
      <c r="I440" s="168">
        <f t="shared" si="204"/>
        <v>0</v>
      </c>
    </row>
    <row r="441" spans="1:9" ht="31.2">
      <c r="A441" s="312">
        <v>409</v>
      </c>
      <c r="B441" s="256" t="s">
        <v>32</v>
      </c>
      <c r="C441" s="174" t="s">
        <v>433</v>
      </c>
      <c r="D441" s="38" t="s">
        <v>406</v>
      </c>
      <c r="E441" s="38">
        <v>1020087110</v>
      </c>
      <c r="F441" s="38">
        <v>200</v>
      </c>
      <c r="G441" s="168">
        <f t="shared" si="204"/>
        <v>0</v>
      </c>
      <c r="H441" s="168">
        <f aca="true" t="shared" si="207" ref="H441:I441">H442</f>
        <v>2000</v>
      </c>
      <c r="I441" s="168">
        <f t="shared" si="207"/>
        <v>0</v>
      </c>
    </row>
    <row r="442" spans="1:12" ht="46.8">
      <c r="A442" s="312">
        <v>410</v>
      </c>
      <c r="B442" s="256" t="s">
        <v>33</v>
      </c>
      <c r="C442" s="174" t="s">
        <v>433</v>
      </c>
      <c r="D442" s="38" t="s">
        <v>406</v>
      </c>
      <c r="E442" s="38">
        <v>1020087110</v>
      </c>
      <c r="F442" s="38">
        <v>240</v>
      </c>
      <c r="G442" s="168">
        <f>2000-2000</f>
        <v>0</v>
      </c>
      <c r="H442" s="168">
        <v>2000</v>
      </c>
      <c r="I442" s="168">
        <v>0</v>
      </c>
      <c r="L442" s="234"/>
    </row>
    <row r="443" spans="1:9" ht="31.2">
      <c r="A443" s="312">
        <v>411</v>
      </c>
      <c r="B443" s="255" t="s">
        <v>555</v>
      </c>
      <c r="C443" s="174" t="s">
        <v>433</v>
      </c>
      <c r="D443" s="38" t="s">
        <v>406</v>
      </c>
      <c r="E443" s="38">
        <v>1020087050</v>
      </c>
      <c r="F443" s="38"/>
      <c r="G443" s="168">
        <f>G444</f>
        <v>0</v>
      </c>
      <c r="H443" s="168">
        <f aca="true" t="shared" si="208" ref="H443:I444">H444</f>
        <v>0</v>
      </c>
      <c r="I443" s="168">
        <f t="shared" si="208"/>
        <v>50000</v>
      </c>
    </row>
    <row r="444" spans="1:9" ht="46.8">
      <c r="A444" s="312">
        <v>412</v>
      </c>
      <c r="B444" s="255" t="s">
        <v>119</v>
      </c>
      <c r="C444" s="174" t="s">
        <v>433</v>
      </c>
      <c r="D444" s="38" t="s">
        <v>406</v>
      </c>
      <c r="E444" s="38">
        <v>1020087050</v>
      </c>
      <c r="F444" s="38">
        <v>400</v>
      </c>
      <c r="G444" s="168">
        <f>G445</f>
        <v>0</v>
      </c>
      <c r="H444" s="168">
        <f t="shared" si="208"/>
        <v>0</v>
      </c>
      <c r="I444" s="168">
        <f t="shared" si="208"/>
        <v>50000</v>
      </c>
    </row>
    <row r="445" spans="1:9" ht="15">
      <c r="A445" s="312">
        <v>413</v>
      </c>
      <c r="B445" s="255" t="s">
        <v>120</v>
      </c>
      <c r="C445" s="174" t="s">
        <v>433</v>
      </c>
      <c r="D445" s="38" t="s">
        <v>406</v>
      </c>
      <c r="E445" s="38">
        <v>1020087050</v>
      </c>
      <c r="F445" s="38">
        <v>410</v>
      </c>
      <c r="G445" s="168">
        <v>0</v>
      </c>
      <c r="H445" s="168">
        <v>0</v>
      </c>
      <c r="I445" s="168">
        <v>50000</v>
      </c>
    </row>
    <row r="446" spans="1:9" ht="15">
      <c r="A446" s="312">
        <v>414</v>
      </c>
      <c r="B446" s="255" t="s">
        <v>479</v>
      </c>
      <c r="C446" s="38" t="s">
        <v>58</v>
      </c>
      <c r="D446" s="38" t="s">
        <v>481</v>
      </c>
      <c r="E446" s="38"/>
      <c r="F446" s="38"/>
      <c r="G446" s="168">
        <f>G447+G453</f>
        <v>1650</v>
      </c>
      <c r="H446" s="168">
        <f aca="true" t="shared" si="209" ref="H446:I449">H447</f>
        <v>0</v>
      </c>
      <c r="I446" s="168">
        <f t="shared" si="209"/>
        <v>0</v>
      </c>
    </row>
    <row r="447" spans="1:9" ht="15" hidden="1">
      <c r="A447" s="312"/>
      <c r="B447" s="133" t="s">
        <v>482</v>
      </c>
      <c r="C447" s="38" t="s">
        <v>58</v>
      </c>
      <c r="D447" s="38" t="s">
        <v>480</v>
      </c>
      <c r="E447" s="38"/>
      <c r="F447" s="38"/>
      <c r="G447" s="168">
        <f aca="true" t="shared" si="210" ref="G447:G451">G448</f>
        <v>0</v>
      </c>
      <c r="H447" s="168">
        <f t="shared" si="209"/>
        <v>0</v>
      </c>
      <c r="I447" s="168">
        <f t="shared" si="209"/>
        <v>0</v>
      </c>
    </row>
    <row r="448" spans="1:9" ht="62.4" hidden="1">
      <c r="A448" s="312"/>
      <c r="B448" s="257" t="s">
        <v>278</v>
      </c>
      <c r="C448" s="174" t="s">
        <v>433</v>
      </c>
      <c r="D448" s="38" t="s">
        <v>480</v>
      </c>
      <c r="E448" s="38">
        <v>1000000000</v>
      </c>
      <c r="F448" s="38"/>
      <c r="G448" s="168">
        <f t="shared" si="210"/>
        <v>0</v>
      </c>
      <c r="H448" s="168">
        <f t="shared" si="209"/>
        <v>0</v>
      </c>
      <c r="I448" s="168">
        <f t="shared" si="209"/>
        <v>0</v>
      </c>
    </row>
    <row r="449" spans="1:9" ht="46.8" hidden="1">
      <c r="A449" s="312"/>
      <c r="B449" s="257" t="s">
        <v>503</v>
      </c>
      <c r="C449" s="174" t="s">
        <v>433</v>
      </c>
      <c r="D449" s="38" t="s">
        <v>480</v>
      </c>
      <c r="E449" s="38">
        <v>1020000000</v>
      </c>
      <c r="F449" s="38"/>
      <c r="G449" s="168">
        <f t="shared" si="210"/>
        <v>0</v>
      </c>
      <c r="H449" s="168">
        <f t="shared" si="209"/>
        <v>0</v>
      </c>
      <c r="I449" s="168">
        <f t="shared" si="209"/>
        <v>0</v>
      </c>
    </row>
    <row r="450" spans="1:9" ht="31.2" hidden="1">
      <c r="A450" s="312"/>
      <c r="B450" s="257" t="s">
        <v>504</v>
      </c>
      <c r="C450" s="174" t="s">
        <v>433</v>
      </c>
      <c r="D450" s="38" t="s">
        <v>480</v>
      </c>
      <c r="E450" s="38">
        <v>1020087090</v>
      </c>
      <c r="F450" s="38"/>
      <c r="G450" s="168">
        <f t="shared" si="210"/>
        <v>0</v>
      </c>
      <c r="H450" s="168">
        <f aca="true" t="shared" si="211" ref="H450:I451">H451</f>
        <v>0</v>
      </c>
      <c r="I450" s="168">
        <f t="shared" si="211"/>
        <v>0</v>
      </c>
    </row>
    <row r="451" spans="1:9" ht="31.2" hidden="1">
      <c r="A451" s="312"/>
      <c r="B451" s="256" t="s">
        <v>32</v>
      </c>
      <c r="C451" s="174" t="s">
        <v>433</v>
      </c>
      <c r="D451" s="38" t="s">
        <v>480</v>
      </c>
      <c r="E451" s="38">
        <v>1020087090</v>
      </c>
      <c r="F451" s="38">
        <v>400</v>
      </c>
      <c r="G451" s="168">
        <f t="shared" si="210"/>
        <v>0</v>
      </c>
      <c r="H451" s="168">
        <f t="shared" si="211"/>
        <v>0</v>
      </c>
      <c r="I451" s="168">
        <f t="shared" si="211"/>
        <v>0</v>
      </c>
    </row>
    <row r="452" spans="1:9" ht="46.8" hidden="1">
      <c r="A452" s="312"/>
      <c r="B452" s="256" t="s">
        <v>33</v>
      </c>
      <c r="C452" s="174" t="s">
        <v>433</v>
      </c>
      <c r="D452" s="38" t="s">
        <v>480</v>
      </c>
      <c r="E452" s="38">
        <v>1020087090</v>
      </c>
      <c r="F452" s="38">
        <v>410</v>
      </c>
      <c r="G452" s="168">
        <f>20000-20000</f>
        <v>0</v>
      </c>
      <c r="H452" s="168">
        <f>67000-67000</f>
        <v>0</v>
      </c>
      <c r="I452" s="168">
        <v>0</v>
      </c>
    </row>
    <row r="453" spans="1:9" ht="31.2">
      <c r="A453" s="312">
        <v>415</v>
      </c>
      <c r="B453" s="255" t="s">
        <v>551</v>
      </c>
      <c r="C453" s="174" t="s">
        <v>433</v>
      </c>
      <c r="D453" s="38" t="s">
        <v>552</v>
      </c>
      <c r="E453" s="38"/>
      <c r="F453" s="38"/>
      <c r="G453" s="168">
        <f>G454</f>
        <v>1650</v>
      </c>
      <c r="H453" s="168">
        <f aca="true" t="shared" si="212" ref="H453:I456">H454</f>
        <v>0</v>
      </c>
      <c r="I453" s="168">
        <f t="shared" si="212"/>
        <v>0</v>
      </c>
    </row>
    <row r="454" spans="1:9" ht="62.4">
      <c r="A454" s="312">
        <v>416</v>
      </c>
      <c r="B454" s="257" t="s">
        <v>278</v>
      </c>
      <c r="C454" s="174" t="s">
        <v>433</v>
      </c>
      <c r="D454" s="38" t="s">
        <v>552</v>
      </c>
      <c r="E454" s="38">
        <v>1000000000</v>
      </c>
      <c r="F454" s="38"/>
      <c r="G454" s="168">
        <f>G455</f>
        <v>1650</v>
      </c>
      <c r="H454" s="168">
        <f t="shared" si="212"/>
        <v>0</v>
      </c>
      <c r="I454" s="168">
        <f t="shared" si="212"/>
        <v>0</v>
      </c>
    </row>
    <row r="455" spans="1:9" ht="46.8">
      <c r="A455" s="312">
        <v>417</v>
      </c>
      <c r="B455" s="257" t="s">
        <v>503</v>
      </c>
      <c r="C455" s="174" t="s">
        <v>433</v>
      </c>
      <c r="D455" s="38" t="s">
        <v>552</v>
      </c>
      <c r="E455" s="38">
        <v>1020000000</v>
      </c>
      <c r="F455" s="38"/>
      <c r="G455" s="168">
        <f>G456</f>
        <v>1650</v>
      </c>
      <c r="H455" s="168">
        <f t="shared" si="212"/>
        <v>0</v>
      </c>
      <c r="I455" s="168">
        <f t="shared" si="212"/>
        <v>0</v>
      </c>
    </row>
    <row r="456" spans="1:9" ht="31.2">
      <c r="A456" s="312">
        <v>418</v>
      </c>
      <c r="B456" s="255" t="s">
        <v>553</v>
      </c>
      <c r="C456" s="174" t="s">
        <v>433</v>
      </c>
      <c r="D456" s="38" t="s">
        <v>552</v>
      </c>
      <c r="E456" s="38">
        <v>1020087070</v>
      </c>
      <c r="F456" s="38"/>
      <c r="G456" s="168">
        <f>G457</f>
        <v>1650</v>
      </c>
      <c r="H456" s="168">
        <f t="shared" si="212"/>
        <v>0</v>
      </c>
      <c r="I456" s="168">
        <f t="shared" si="212"/>
        <v>0</v>
      </c>
    </row>
    <row r="457" spans="1:9" ht="31.2">
      <c r="A457" s="312">
        <v>419</v>
      </c>
      <c r="B457" s="256" t="s">
        <v>32</v>
      </c>
      <c r="C457" s="174" t="s">
        <v>433</v>
      </c>
      <c r="D457" s="38" t="s">
        <v>552</v>
      </c>
      <c r="E457" s="38">
        <v>1020087070</v>
      </c>
      <c r="F457" s="38">
        <v>200</v>
      </c>
      <c r="G457" s="168">
        <f>G458</f>
        <v>1650</v>
      </c>
      <c r="H457" s="168">
        <f aca="true" t="shared" si="213" ref="H457:I457">H458</f>
        <v>0</v>
      </c>
      <c r="I457" s="168">
        <f t="shared" si="213"/>
        <v>0</v>
      </c>
    </row>
    <row r="458" spans="1:9" ht="46.8">
      <c r="A458" s="312">
        <v>420</v>
      </c>
      <c r="B458" s="256" t="s">
        <v>33</v>
      </c>
      <c r="C458" s="174" t="s">
        <v>433</v>
      </c>
      <c r="D458" s="38" t="s">
        <v>552</v>
      </c>
      <c r="E458" s="38">
        <v>1020087070</v>
      </c>
      <c r="F458" s="38">
        <v>240</v>
      </c>
      <c r="G458" s="168">
        <v>1650</v>
      </c>
      <c r="H458" s="168">
        <v>0</v>
      </c>
      <c r="I458" s="168">
        <v>0</v>
      </c>
    </row>
    <row r="459" spans="1:9" ht="46.8">
      <c r="A459" s="312">
        <v>421</v>
      </c>
      <c r="B459" s="260" t="s">
        <v>342</v>
      </c>
      <c r="C459" s="174" t="s">
        <v>433</v>
      </c>
      <c r="D459" s="38"/>
      <c r="E459" s="38"/>
      <c r="F459" s="38"/>
      <c r="G459" s="168">
        <f>G460+G490</f>
        <v>6666.31</v>
      </c>
      <c r="H459" s="168">
        <f>H460+H490</f>
        <v>4318.07</v>
      </c>
      <c r="I459" s="168">
        <f>I460+I490</f>
        <v>4318.07</v>
      </c>
    </row>
    <row r="460" spans="1:9" ht="15">
      <c r="A460" s="312">
        <v>422</v>
      </c>
      <c r="B460" s="254" t="s">
        <v>56</v>
      </c>
      <c r="C460" s="174" t="s">
        <v>433</v>
      </c>
      <c r="D460" s="38" t="s">
        <v>59</v>
      </c>
      <c r="E460" s="38"/>
      <c r="F460" s="38"/>
      <c r="G460" s="168">
        <f>G461</f>
        <v>6366.31</v>
      </c>
      <c r="H460" s="168">
        <f aca="true" t="shared" si="214" ref="H460:I460">H461</f>
        <v>4318.07</v>
      </c>
      <c r="I460" s="168">
        <f t="shared" si="214"/>
        <v>4318.07</v>
      </c>
    </row>
    <row r="461" spans="1:9" ht="15">
      <c r="A461" s="312">
        <v>423</v>
      </c>
      <c r="B461" s="253" t="s">
        <v>70</v>
      </c>
      <c r="C461" s="174" t="s">
        <v>433</v>
      </c>
      <c r="D461" s="38" t="s">
        <v>186</v>
      </c>
      <c r="E461" s="38"/>
      <c r="F461" s="38"/>
      <c r="G461" s="168">
        <f>G462+G481+G476</f>
        <v>6366.31</v>
      </c>
      <c r="H461" s="168">
        <f>H462+H481</f>
        <v>4318.07</v>
      </c>
      <c r="I461" s="168">
        <f>I462+I481</f>
        <v>4318.07</v>
      </c>
    </row>
    <row r="462" spans="1:9" ht="31.2">
      <c r="A462" s="312">
        <v>424</v>
      </c>
      <c r="B462" s="253" t="s">
        <v>28</v>
      </c>
      <c r="C462" s="174" t="s">
        <v>433</v>
      </c>
      <c r="D462" s="38" t="s">
        <v>186</v>
      </c>
      <c r="E462" s="38">
        <v>9170000000</v>
      </c>
      <c r="F462" s="38"/>
      <c r="G462" s="168">
        <f>G463+G470+G473</f>
        <v>5237.06</v>
      </c>
      <c r="H462" s="168">
        <f aca="true" t="shared" si="215" ref="H462:I462">H463+H470+H473</f>
        <v>4318.07</v>
      </c>
      <c r="I462" s="168">
        <f t="shared" si="215"/>
        <v>4318.07</v>
      </c>
    </row>
    <row r="463" spans="1:9" ht="31.2">
      <c r="A463" s="312">
        <v>425</v>
      </c>
      <c r="B463" s="269" t="s">
        <v>343</v>
      </c>
      <c r="C463" s="174" t="s">
        <v>433</v>
      </c>
      <c r="D463" s="38" t="s">
        <v>186</v>
      </c>
      <c r="E463" s="38">
        <v>9170000620</v>
      </c>
      <c r="F463" s="38"/>
      <c r="G463" s="168">
        <f>G464+G466+G468</f>
        <v>4455.47</v>
      </c>
      <c r="H463" s="168">
        <f aca="true" t="shared" si="216" ref="H463:I463">H464+H466+H468</f>
        <v>3618.07</v>
      </c>
      <c r="I463" s="168">
        <f t="shared" si="216"/>
        <v>3618.07</v>
      </c>
    </row>
    <row r="464" spans="1:9" ht="78">
      <c r="A464" s="312">
        <v>426</v>
      </c>
      <c r="B464" s="256" t="s">
        <v>25</v>
      </c>
      <c r="C464" s="174" t="s">
        <v>433</v>
      </c>
      <c r="D464" s="38" t="s">
        <v>186</v>
      </c>
      <c r="E464" s="38">
        <v>9170000620</v>
      </c>
      <c r="F464" s="38">
        <v>100</v>
      </c>
      <c r="G464" s="168">
        <f>G465</f>
        <v>3391.28</v>
      </c>
      <c r="H464" s="168">
        <f aca="true" t="shared" si="217" ref="H464:I464">H465</f>
        <v>2874.88</v>
      </c>
      <c r="I464" s="168">
        <f t="shared" si="217"/>
        <v>2874.88</v>
      </c>
    </row>
    <row r="465" spans="1:10" ht="31.2">
      <c r="A465" s="312">
        <v>427</v>
      </c>
      <c r="B465" s="256" t="s">
        <v>130</v>
      </c>
      <c r="C465" s="174" t="s">
        <v>433</v>
      </c>
      <c r="D465" s="38" t="s">
        <v>186</v>
      </c>
      <c r="E465" s="38">
        <v>9170000620</v>
      </c>
      <c r="F465" s="38">
        <v>110</v>
      </c>
      <c r="G465" s="168">
        <f>3397.17-2.85-3-0.04</f>
        <v>3391.28</v>
      </c>
      <c r="H465" s="168">
        <v>2874.88</v>
      </c>
      <c r="I465" s="168">
        <v>2874.88</v>
      </c>
      <c r="J465" s="162">
        <v>-0.04</v>
      </c>
    </row>
    <row r="466" spans="1:9" ht="31.2">
      <c r="A466" s="312">
        <v>428</v>
      </c>
      <c r="B466" s="256" t="s">
        <v>32</v>
      </c>
      <c r="C466" s="174" t="s">
        <v>433</v>
      </c>
      <c r="D466" s="38" t="s">
        <v>186</v>
      </c>
      <c r="E466" s="38">
        <v>9170000620</v>
      </c>
      <c r="F466" s="38">
        <v>200</v>
      </c>
      <c r="G466" s="168">
        <f>G467</f>
        <v>1059.34</v>
      </c>
      <c r="H466" s="168">
        <f aca="true" t="shared" si="218" ref="H466:I466">H467</f>
        <v>741.19</v>
      </c>
      <c r="I466" s="168">
        <f t="shared" si="218"/>
        <v>741.19</v>
      </c>
    </row>
    <row r="467" spans="1:12" ht="46.8">
      <c r="A467" s="312">
        <v>429</v>
      </c>
      <c r="B467" s="271" t="s">
        <v>33</v>
      </c>
      <c r="C467" s="174" t="s">
        <v>433</v>
      </c>
      <c r="D467" s="38" t="s">
        <v>186</v>
      </c>
      <c r="E467" s="38">
        <v>9170000620</v>
      </c>
      <c r="F467" s="38">
        <v>240</v>
      </c>
      <c r="G467" s="168">
        <f>743.19-2+3+300+0.04+15.11</f>
        <v>1059.34</v>
      </c>
      <c r="H467" s="168">
        <f aca="true" t="shared" si="219" ref="H467:I467">743.19-2</f>
        <v>741.19</v>
      </c>
      <c r="I467" s="168">
        <f t="shared" si="219"/>
        <v>741.19</v>
      </c>
      <c r="J467" s="162">
        <v>0.04</v>
      </c>
      <c r="L467" s="272">
        <v>15.11</v>
      </c>
    </row>
    <row r="468" spans="1:9" ht="15">
      <c r="A468" s="312">
        <v>430</v>
      </c>
      <c r="B468" s="256" t="s">
        <v>67</v>
      </c>
      <c r="C468" s="174" t="s">
        <v>433</v>
      </c>
      <c r="D468" s="38" t="s">
        <v>186</v>
      </c>
      <c r="E468" s="38">
        <v>9170000620</v>
      </c>
      <c r="F468" s="38">
        <v>800</v>
      </c>
      <c r="G468" s="168">
        <f>G469</f>
        <v>4.85</v>
      </c>
      <c r="H468" s="168">
        <f aca="true" t="shared" si="220" ref="H468:I468">H469</f>
        <v>2</v>
      </c>
      <c r="I468" s="168">
        <f t="shared" si="220"/>
        <v>2</v>
      </c>
    </row>
    <row r="469" spans="1:9" ht="15">
      <c r="A469" s="312">
        <v>431</v>
      </c>
      <c r="B469" s="256" t="s">
        <v>221</v>
      </c>
      <c r="C469" s="174" t="s">
        <v>433</v>
      </c>
      <c r="D469" s="38" t="s">
        <v>186</v>
      </c>
      <c r="E469" s="38">
        <v>9170000620</v>
      </c>
      <c r="F469" s="38">
        <v>850</v>
      </c>
      <c r="G469" s="168">
        <f>2+2.85</f>
        <v>4.85</v>
      </c>
      <c r="H469" s="168">
        <v>2</v>
      </c>
      <c r="I469" s="168">
        <v>2</v>
      </c>
    </row>
    <row r="470" spans="1:9" ht="78">
      <c r="A470" s="312">
        <v>432</v>
      </c>
      <c r="B470" s="269" t="s">
        <v>585</v>
      </c>
      <c r="C470" s="38" t="s">
        <v>58</v>
      </c>
      <c r="D470" s="38" t="s">
        <v>186</v>
      </c>
      <c r="E470" s="38">
        <v>9170000850</v>
      </c>
      <c r="F470" s="38"/>
      <c r="G470" s="168">
        <f>G471</f>
        <v>496.7</v>
      </c>
      <c r="H470" s="168">
        <f aca="true" t="shared" si="221" ref="H470:I471">H471</f>
        <v>400</v>
      </c>
      <c r="I470" s="168">
        <f t="shared" si="221"/>
        <v>400</v>
      </c>
    </row>
    <row r="471" spans="1:9" ht="31.2">
      <c r="A471" s="312">
        <v>433</v>
      </c>
      <c r="B471" s="256" t="s">
        <v>32</v>
      </c>
      <c r="C471" s="38" t="s">
        <v>58</v>
      </c>
      <c r="D471" s="38" t="s">
        <v>186</v>
      </c>
      <c r="E471" s="38">
        <v>9170000850</v>
      </c>
      <c r="F471" s="38">
        <v>200</v>
      </c>
      <c r="G471" s="168">
        <f>G472</f>
        <v>496.7</v>
      </c>
      <c r="H471" s="168">
        <f t="shared" si="221"/>
        <v>400</v>
      </c>
      <c r="I471" s="168">
        <f t="shared" si="221"/>
        <v>400</v>
      </c>
    </row>
    <row r="472" spans="1:12" ht="46.8">
      <c r="A472" s="312">
        <v>434</v>
      </c>
      <c r="B472" s="256" t="s">
        <v>33</v>
      </c>
      <c r="C472" s="38" t="s">
        <v>58</v>
      </c>
      <c r="D472" s="38" t="s">
        <v>186</v>
      </c>
      <c r="E472" s="38">
        <v>9170000850</v>
      </c>
      <c r="F472" s="38">
        <v>240</v>
      </c>
      <c r="G472" s="168">
        <f>400+100-3.3</f>
        <v>496.7</v>
      </c>
      <c r="H472" s="168">
        <v>400</v>
      </c>
      <c r="I472" s="168">
        <v>400</v>
      </c>
      <c r="L472" s="272">
        <v>-3.3</v>
      </c>
    </row>
    <row r="473" spans="1:9" ht="46.8">
      <c r="A473" s="312">
        <v>435</v>
      </c>
      <c r="B473" s="269" t="s">
        <v>76</v>
      </c>
      <c r="C473" s="38" t="s">
        <v>58</v>
      </c>
      <c r="D473" s="38" t="s">
        <v>186</v>
      </c>
      <c r="E473" s="38">
        <v>9170017110</v>
      </c>
      <c r="F473" s="38"/>
      <c r="G473" s="168">
        <f>G474</f>
        <v>284.89</v>
      </c>
      <c r="H473" s="168">
        <f aca="true" t="shared" si="222" ref="H473:I474">H474</f>
        <v>300</v>
      </c>
      <c r="I473" s="168">
        <f t="shared" si="222"/>
        <v>300</v>
      </c>
    </row>
    <row r="474" spans="1:9" ht="31.2">
      <c r="A474" s="312">
        <v>436</v>
      </c>
      <c r="B474" s="256" t="s">
        <v>32</v>
      </c>
      <c r="C474" s="38" t="s">
        <v>58</v>
      </c>
      <c r="D474" s="38" t="s">
        <v>186</v>
      </c>
      <c r="E474" s="38">
        <v>9170017110</v>
      </c>
      <c r="F474" s="38">
        <v>200</v>
      </c>
      <c r="G474" s="168">
        <f>G475</f>
        <v>284.89</v>
      </c>
      <c r="H474" s="168">
        <f t="shared" si="222"/>
        <v>300</v>
      </c>
      <c r="I474" s="168">
        <f t="shared" si="222"/>
        <v>300</v>
      </c>
    </row>
    <row r="475" spans="1:12" ht="46.8">
      <c r="A475" s="312">
        <v>437</v>
      </c>
      <c r="B475" s="256" t="s">
        <v>33</v>
      </c>
      <c r="C475" s="38" t="s">
        <v>58</v>
      </c>
      <c r="D475" s="38" t="s">
        <v>186</v>
      </c>
      <c r="E475" s="38">
        <v>9170017110</v>
      </c>
      <c r="F475" s="38">
        <v>240</v>
      </c>
      <c r="G475" s="168">
        <f>300-15.11</f>
        <v>284.89</v>
      </c>
      <c r="H475" s="168">
        <v>300</v>
      </c>
      <c r="I475" s="168">
        <v>300</v>
      </c>
      <c r="L475" s="272">
        <v>-15.11</v>
      </c>
    </row>
    <row r="476" spans="1:9" ht="31.2">
      <c r="A476" s="312">
        <v>438</v>
      </c>
      <c r="B476" s="255" t="s">
        <v>87</v>
      </c>
      <c r="C476" s="38" t="s">
        <v>58</v>
      </c>
      <c r="D476" s="38" t="s">
        <v>186</v>
      </c>
      <c r="E476" s="38">
        <v>1100000000</v>
      </c>
      <c r="F476" s="38"/>
      <c r="G476" s="168">
        <f>G477</f>
        <v>1000</v>
      </c>
      <c r="H476" s="168">
        <f aca="true" t="shared" si="223" ref="H476:I479">H477</f>
        <v>0</v>
      </c>
      <c r="I476" s="168">
        <f t="shared" si="223"/>
        <v>0</v>
      </c>
    </row>
    <row r="477" spans="1:9" ht="31.2">
      <c r="A477" s="312">
        <v>439</v>
      </c>
      <c r="B477" s="255" t="s">
        <v>566</v>
      </c>
      <c r="C477" s="38" t="s">
        <v>58</v>
      </c>
      <c r="D477" s="38" t="s">
        <v>186</v>
      </c>
      <c r="E477" s="38">
        <v>1110000000</v>
      </c>
      <c r="F477" s="38"/>
      <c r="G477" s="168">
        <f>G478</f>
        <v>1000</v>
      </c>
      <c r="H477" s="168">
        <f t="shared" si="223"/>
        <v>0</v>
      </c>
      <c r="I477" s="168">
        <f t="shared" si="223"/>
        <v>0</v>
      </c>
    </row>
    <row r="478" spans="1:9" ht="31.2">
      <c r="A478" s="312">
        <v>440</v>
      </c>
      <c r="B478" s="255" t="s">
        <v>567</v>
      </c>
      <c r="C478" s="38" t="s">
        <v>58</v>
      </c>
      <c r="D478" s="38" t="s">
        <v>186</v>
      </c>
      <c r="E478" s="38">
        <v>1110089200</v>
      </c>
      <c r="F478" s="38"/>
      <c r="G478" s="168">
        <f>G479</f>
        <v>1000</v>
      </c>
      <c r="H478" s="168">
        <f t="shared" si="223"/>
        <v>0</v>
      </c>
      <c r="I478" s="168">
        <f t="shared" si="223"/>
        <v>0</v>
      </c>
    </row>
    <row r="479" spans="1:9" ht="31.2">
      <c r="A479" s="312">
        <v>441</v>
      </c>
      <c r="B479" s="256" t="s">
        <v>32</v>
      </c>
      <c r="C479" s="38" t="s">
        <v>58</v>
      </c>
      <c r="D479" s="38" t="s">
        <v>186</v>
      </c>
      <c r="E479" s="38">
        <v>1110089200</v>
      </c>
      <c r="F479" s="38">
        <v>200</v>
      </c>
      <c r="G479" s="168">
        <f>G480</f>
        <v>1000</v>
      </c>
      <c r="H479" s="168">
        <f t="shared" si="223"/>
        <v>0</v>
      </c>
      <c r="I479" s="168">
        <f t="shared" si="223"/>
        <v>0</v>
      </c>
    </row>
    <row r="480" spans="1:9" ht="46.8">
      <c r="A480" s="312">
        <v>442</v>
      </c>
      <c r="B480" s="256" t="s">
        <v>33</v>
      </c>
      <c r="C480" s="38" t="s">
        <v>58</v>
      </c>
      <c r="D480" s="38" t="s">
        <v>186</v>
      </c>
      <c r="E480" s="38">
        <v>1110089200</v>
      </c>
      <c r="F480" s="38">
        <v>240</v>
      </c>
      <c r="G480" s="168">
        <v>1000</v>
      </c>
      <c r="H480" s="168">
        <v>0</v>
      </c>
      <c r="I480" s="168">
        <v>0</v>
      </c>
    </row>
    <row r="481" spans="1:9" ht="46.8">
      <c r="A481" s="312">
        <v>443</v>
      </c>
      <c r="B481" s="257" t="s">
        <v>285</v>
      </c>
      <c r="C481" s="38" t="s">
        <v>58</v>
      </c>
      <c r="D481" s="38" t="s">
        <v>186</v>
      </c>
      <c r="E481" s="38">
        <v>1200000000</v>
      </c>
      <c r="F481" s="38"/>
      <c r="G481" s="168">
        <f>G486+G482</f>
        <v>129.25</v>
      </c>
      <c r="H481" s="168">
        <f aca="true" t="shared" si="224" ref="H481:I481">H486+H482</f>
        <v>0</v>
      </c>
      <c r="I481" s="168">
        <f t="shared" si="224"/>
        <v>0</v>
      </c>
    </row>
    <row r="482" spans="1:9" ht="78">
      <c r="A482" s="312">
        <v>444</v>
      </c>
      <c r="B482" s="248" t="s">
        <v>289</v>
      </c>
      <c r="C482" s="38" t="s">
        <v>58</v>
      </c>
      <c r="D482" s="38" t="s">
        <v>186</v>
      </c>
      <c r="E482" s="38">
        <v>1240000000</v>
      </c>
      <c r="F482" s="38"/>
      <c r="G482" s="168">
        <f>G483</f>
        <v>0</v>
      </c>
      <c r="H482" s="168">
        <f aca="true" t="shared" si="225" ref="H482:I484">H483</f>
        <v>0</v>
      </c>
      <c r="I482" s="168">
        <f t="shared" si="225"/>
        <v>0</v>
      </c>
    </row>
    <row r="483" spans="1:9" ht="31.2">
      <c r="A483" s="312">
        <v>445</v>
      </c>
      <c r="B483" s="248" t="s">
        <v>593</v>
      </c>
      <c r="C483" s="38" t="s">
        <v>58</v>
      </c>
      <c r="D483" s="38" t="s">
        <v>186</v>
      </c>
      <c r="E483" s="38">
        <v>1240082120</v>
      </c>
      <c r="F483" s="38"/>
      <c r="G483" s="168">
        <f>G484</f>
        <v>0</v>
      </c>
      <c r="H483" s="168">
        <f t="shared" si="225"/>
        <v>0</v>
      </c>
      <c r="I483" s="168">
        <f t="shared" si="225"/>
        <v>0</v>
      </c>
    </row>
    <row r="484" spans="1:10" ht="31.2">
      <c r="A484" s="312">
        <v>446</v>
      </c>
      <c r="B484" s="253" t="s">
        <v>592</v>
      </c>
      <c r="C484" s="38" t="s">
        <v>58</v>
      </c>
      <c r="D484" s="38" t="s">
        <v>186</v>
      </c>
      <c r="E484" s="38">
        <v>1240082120</v>
      </c>
      <c r="F484" s="38">
        <v>400</v>
      </c>
      <c r="G484" s="168">
        <f>G485</f>
        <v>0</v>
      </c>
      <c r="H484" s="168">
        <f t="shared" si="225"/>
        <v>0</v>
      </c>
      <c r="I484" s="168">
        <f t="shared" si="225"/>
        <v>0</v>
      </c>
      <c r="J484" s="235">
        <v>-12000</v>
      </c>
    </row>
    <row r="485" spans="1:10" ht="46.8">
      <c r="A485" s="312">
        <v>447</v>
      </c>
      <c r="B485" s="249" t="s">
        <v>33</v>
      </c>
      <c r="C485" s="38" t="s">
        <v>58</v>
      </c>
      <c r="D485" s="38" t="s">
        <v>186</v>
      </c>
      <c r="E485" s="38">
        <v>1240082120</v>
      </c>
      <c r="F485" s="38">
        <v>410</v>
      </c>
      <c r="G485" s="168">
        <f>10000-10000</f>
        <v>0</v>
      </c>
      <c r="H485" s="168">
        <f>12000-12000</f>
        <v>0</v>
      </c>
      <c r="I485" s="168">
        <v>0</v>
      </c>
      <c r="J485" s="235">
        <v>-10000</v>
      </c>
    </row>
    <row r="486" spans="1:9" ht="62.4">
      <c r="A486" s="312">
        <v>448</v>
      </c>
      <c r="B486" s="253" t="s">
        <v>290</v>
      </c>
      <c r="C486" s="38" t="s">
        <v>58</v>
      </c>
      <c r="D486" s="38" t="s">
        <v>186</v>
      </c>
      <c r="E486" s="38">
        <v>1250000000</v>
      </c>
      <c r="F486" s="38"/>
      <c r="G486" s="168">
        <f>G487</f>
        <v>129.25</v>
      </c>
      <c r="H486" s="168">
        <f aca="true" t="shared" si="226" ref="H486:I486">H487</f>
        <v>0</v>
      </c>
      <c r="I486" s="168">
        <f t="shared" si="226"/>
        <v>0</v>
      </c>
    </row>
    <row r="487" spans="1:9" ht="62.4">
      <c r="A487" s="312">
        <v>449</v>
      </c>
      <c r="B487" s="270" t="s">
        <v>465</v>
      </c>
      <c r="C487" s="38" t="s">
        <v>58</v>
      </c>
      <c r="D487" s="38" t="s">
        <v>186</v>
      </c>
      <c r="E487" s="38">
        <v>1250081110</v>
      </c>
      <c r="F487" s="38"/>
      <c r="G487" s="168">
        <f>G488</f>
        <v>129.25</v>
      </c>
      <c r="H487" s="168">
        <f>H488</f>
        <v>0</v>
      </c>
      <c r="I487" s="168"/>
    </row>
    <row r="488" spans="1:9" ht="31.2">
      <c r="A488" s="312">
        <v>450</v>
      </c>
      <c r="B488" s="256" t="s">
        <v>32</v>
      </c>
      <c r="C488" s="38" t="s">
        <v>58</v>
      </c>
      <c r="D488" s="38" t="s">
        <v>186</v>
      </c>
      <c r="E488" s="38">
        <v>1250081110</v>
      </c>
      <c r="F488" s="38">
        <v>200</v>
      </c>
      <c r="G488" s="168">
        <f>G489</f>
        <v>129.25</v>
      </c>
      <c r="H488" s="168">
        <f aca="true" t="shared" si="227" ref="H488:I488">H489</f>
        <v>0</v>
      </c>
      <c r="I488" s="168">
        <f t="shared" si="227"/>
        <v>0</v>
      </c>
    </row>
    <row r="489" spans="1:12" ht="46.8">
      <c r="A489" s="312">
        <v>451</v>
      </c>
      <c r="B489" s="256" t="s">
        <v>33</v>
      </c>
      <c r="C489" s="38" t="s">
        <v>58</v>
      </c>
      <c r="D489" s="38" t="s">
        <v>186</v>
      </c>
      <c r="E489" s="38">
        <v>1250081110</v>
      </c>
      <c r="F489" s="38">
        <v>240</v>
      </c>
      <c r="G489" s="168">
        <f>315+125-125-185.75</f>
        <v>129.25</v>
      </c>
      <c r="H489" s="168">
        <v>0</v>
      </c>
      <c r="I489" s="168">
        <v>0</v>
      </c>
      <c r="L489" s="272">
        <v>-185.75</v>
      </c>
    </row>
    <row r="490" spans="1:9" ht="15">
      <c r="A490" s="312">
        <v>452</v>
      </c>
      <c r="B490" s="253" t="s">
        <v>98</v>
      </c>
      <c r="C490" s="38" t="s">
        <v>58</v>
      </c>
      <c r="D490" s="38" t="s">
        <v>393</v>
      </c>
      <c r="E490" s="38"/>
      <c r="F490" s="38"/>
      <c r="G490" s="168">
        <f aca="true" t="shared" si="228" ref="G490:G495">G491</f>
        <v>300</v>
      </c>
      <c r="H490" s="168">
        <f aca="true" t="shared" si="229" ref="H490:I490">H491</f>
        <v>0</v>
      </c>
      <c r="I490" s="168">
        <f t="shared" si="229"/>
        <v>0</v>
      </c>
    </row>
    <row r="491" spans="1:9" ht="15">
      <c r="A491" s="312">
        <v>453</v>
      </c>
      <c r="B491" s="253" t="s">
        <v>99</v>
      </c>
      <c r="C491" s="38" t="s">
        <v>58</v>
      </c>
      <c r="D491" s="38" t="s">
        <v>394</v>
      </c>
      <c r="E491" s="38"/>
      <c r="F491" s="38"/>
      <c r="G491" s="168">
        <f>G492+G500</f>
        <v>300</v>
      </c>
      <c r="H491" s="168">
        <f>H492+H500</f>
        <v>0</v>
      </c>
      <c r="I491" s="168">
        <f>I492+I500</f>
        <v>0</v>
      </c>
    </row>
    <row r="492" spans="1:9" ht="62.4">
      <c r="A492" s="312">
        <v>454</v>
      </c>
      <c r="B492" s="257" t="s">
        <v>278</v>
      </c>
      <c r="C492" s="38" t="s">
        <v>58</v>
      </c>
      <c r="D492" s="38" t="s">
        <v>394</v>
      </c>
      <c r="E492" s="38">
        <v>1000000000</v>
      </c>
      <c r="F492" s="38"/>
      <c r="G492" s="175">
        <f t="shared" si="228"/>
        <v>300</v>
      </c>
      <c r="H492" s="175">
        <f aca="true" t="shared" si="230" ref="H492:I495">H493</f>
        <v>0</v>
      </c>
      <c r="I492" s="175">
        <f t="shared" si="230"/>
        <v>0</v>
      </c>
    </row>
    <row r="493" spans="1:9" ht="46.8">
      <c r="A493" s="312">
        <v>455</v>
      </c>
      <c r="B493" s="257" t="s">
        <v>279</v>
      </c>
      <c r="C493" s="38" t="s">
        <v>58</v>
      </c>
      <c r="D493" s="38" t="s">
        <v>394</v>
      </c>
      <c r="E493" s="38">
        <v>1010000000</v>
      </c>
      <c r="F493" s="38"/>
      <c r="G493" s="175">
        <f>G494+G497</f>
        <v>300</v>
      </c>
      <c r="H493" s="175">
        <f t="shared" si="230"/>
        <v>0</v>
      </c>
      <c r="I493" s="175">
        <f t="shared" si="230"/>
        <v>0</v>
      </c>
    </row>
    <row r="494" spans="1:9" ht="31.2">
      <c r="A494" s="312">
        <v>456</v>
      </c>
      <c r="B494" s="255" t="s">
        <v>425</v>
      </c>
      <c r="C494" s="38" t="s">
        <v>58</v>
      </c>
      <c r="D494" s="38" t="s">
        <v>394</v>
      </c>
      <c r="E494" s="38">
        <v>1010095700</v>
      </c>
      <c r="F494" s="38"/>
      <c r="G494" s="175">
        <f t="shared" si="228"/>
        <v>90</v>
      </c>
      <c r="H494" s="175">
        <f t="shared" si="230"/>
        <v>0</v>
      </c>
      <c r="I494" s="175">
        <f t="shared" si="230"/>
        <v>0</v>
      </c>
    </row>
    <row r="495" spans="1:9" ht="31.2">
      <c r="A495" s="312">
        <v>457</v>
      </c>
      <c r="B495" s="256" t="s">
        <v>32</v>
      </c>
      <c r="C495" s="38" t="s">
        <v>58</v>
      </c>
      <c r="D495" s="38" t="s">
        <v>394</v>
      </c>
      <c r="E495" s="38">
        <v>1010095700</v>
      </c>
      <c r="F495" s="38">
        <v>200</v>
      </c>
      <c r="G495" s="175">
        <f t="shared" si="228"/>
        <v>90</v>
      </c>
      <c r="H495" s="175">
        <f t="shared" si="230"/>
        <v>0</v>
      </c>
      <c r="I495" s="175">
        <f t="shared" si="230"/>
        <v>0</v>
      </c>
    </row>
    <row r="496" spans="1:9" ht="46.8">
      <c r="A496" s="312">
        <v>458</v>
      </c>
      <c r="B496" s="256" t="s">
        <v>33</v>
      </c>
      <c r="C496" s="38" t="s">
        <v>58</v>
      </c>
      <c r="D496" s="38" t="s">
        <v>394</v>
      </c>
      <c r="E496" s="38">
        <v>1010095700</v>
      </c>
      <c r="F496" s="38">
        <v>240</v>
      </c>
      <c r="G496" s="175">
        <v>90</v>
      </c>
      <c r="H496" s="175">
        <v>0</v>
      </c>
      <c r="I496" s="175">
        <v>0</v>
      </c>
    </row>
    <row r="497" spans="1:9" ht="15">
      <c r="A497" s="312">
        <v>459</v>
      </c>
      <c r="B497" s="255" t="s">
        <v>565</v>
      </c>
      <c r="C497" s="38" t="s">
        <v>58</v>
      </c>
      <c r="D497" s="38" t="s">
        <v>394</v>
      </c>
      <c r="E497" s="38">
        <v>1010087080</v>
      </c>
      <c r="F497" s="38"/>
      <c r="G497" s="175">
        <f>G498</f>
        <v>210</v>
      </c>
      <c r="H497" s="175"/>
      <c r="I497" s="175"/>
    </row>
    <row r="498" spans="1:9" ht="31.2">
      <c r="A498" s="312">
        <v>460</v>
      </c>
      <c r="B498" s="256" t="s">
        <v>32</v>
      </c>
      <c r="C498" s="38" t="s">
        <v>58</v>
      </c>
      <c r="D498" s="38" t="s">
        <v>394</v>
      </c>
      <c r="E498" s="38">
        <v>1010087080</v>
      </c>
      <c r="F498" s="38">
        <v>200</v>
      </c>
      <c r="G498" s="175">
        <f>G499</f>
        <v>210</v>
      </c>
      <c r="H498" s="175"/>
      <c r="I498" s="175"/>
    </row>
    <row r="499" spans="1:9" ht="46.8">
      <c r="A499" s="312">
        <v>461</v>
      </c>
      <c r="B499" s="256" t="s">
        <v>33</v>
      </c>
      <c r="C499" s="38" t="s">
        <v>58</v>
      </c>
      <c r="D499" s="38" t="s">
        <v>394</v>
      </c>
      <c r="E499" s="38">
        <v>1010087080</v>
      </c>
      <c r="F499" s="38">
        <v>240</v>
      </c>
      <c r="G499" s="175">
        <f>310-100</f>
        <v>210</v>
      </c>
      <c r="H499" s="175"/>
      <c r="I499" s="175"/>
    </row>
    <row r="500" spans="1:9" ht="46.8" hidden="1">
      <c r="A500" s="312"/>
      <c r="B500" s="253" t="s">
        <v>100</v>
      </c>
      <c r="C500" s="38" t="s">
        <v>58</v>
      </c>
      <c r="D500" s="38" t="s">
        <v>394</v>
      </c>
      <c r="E500" s="38" t="s">
        <v>101</v>
      </c>
      <c r="F500" s="38"/>
      <c r="G500" s="175">
        <f>G501</f>
        <v>0</v>
      </c>
      <c r="H500" s="175">
        <f aca="true" t="shared" si="231" ref="H500:I501">H501</f>
        <v>0</v>
      </c>
      <c r="I500" s="175">
        <f t="shared" si="231"/>
        <v>0</v>
      </c>
    </row>
    <row r="501" spans="1:9" ht="46.8" hidden="1">
      <c r="A501" s="312"/>
      <c r="B501" s="253" t="s">
        <v>273</v>
      </c>
      <c r="C501" s="38" t="s">
        <v>58</v>
      </c>
      <c r="D501" s="38" t="s">
        <v>394</v>
      </c>
      <c r="E501" s="38" t="s">
        <v>275</v>
      </c>
      <c r="F501" s="38"/>
      <c r="G501" s="175">
        <f>G502</f>
        <v>0</v>
      </c>
      <c r="H501" s="175">
        <f t="shared" si="231"/>
        <v>0</v>
      </c>
      <c r="I501" s="175">
        <f t="shared" si="231"/>
        <v>0</v>
      </c>
    </row>
    <row r="502" spans="1:9" ht="109.2" hidden="1">
      <c r="A502" s="312"/>
      <c r="B502" s="255" t="s">
        <v>517</v>
      </c>
      <c r="C502" s="38" t="s">
        <v>58</v>
      </c>
      <c r="D502" s="38" t="s">
        <v>394</v>
      </c>
      <c r="E502" s="38" t="s">
        <v>507</v>
      </c>
      <c r="F502" s="38"/>
      <c r="G502" s="175">
        <f>G503</f>
        <v>0</v>
      </c>
      <c r="H502" s="175">
        <f aca="true" t="shared" si="232" ref="H502:I503">H503</f>
        <v>0</v>
      </c>
      <c r="I502" s="175">
        <f t="shared" si="232"/>
        <v>0</v>
      </c>
    </row>
    <row r="503" spans="1:9" ht="31.2" hidden="1">
      <c r="A503" s="312"/>
      <c r="B503" s="256" t="s">
        <v>32</v>
      </c>
      <c r="C503" s="38" t="s">
        <v>58</v>
      </c>
      <c r="D503" s="38" t="s">
        <v>394</v>
      </c>
      <c r="E503" s="38" t="s">
        <v>507</v>
      </c>
      <c r="F503" s="38">
        <v>200</v>
      </c>
      <c r="G503" s="175">
        <f>G504</f>
        <v>0</v>
      </c>
      <c r="H503" s="175">
        <f t="shared" si="232"/>
        <v>0</v>
      </c>
      <c r="I503" s="175">
        <f t="shared" si="232"/>
        <v>0</v>
      </c>
    </row>
    <row r="504" spans="1:9" ht="46.8" hidden="1">
      <c r="A504" s="312"/>
      <c r="B504" s="256" t="s">
        <v>33</v>
      </c>
      <c r="C504" s="38" t="s">
        <v>58</v>
      </c>
      <c r="D504" s="38" t="s">
        <v>394</v>
      </c>
      <c r="E504" s="38" t="s">
        <v>507</v>
      </c>
      <c r="F504" s="38">
        <v>240</v>
      </c>
      <c r="G504" s="175">
        <f>180-180</f>
        <v>0</v>
      </c>
      <c r="H504" s="175">
        <v>0</v>
      </c>
      <c r="I504" s="175">
        <v>0</v>
      </c>
    </row>
    <row r="505" spans="1:11" ht="46.8">
      <c r="A505" s="312">
        <v>462</v>
      </c>
      <c r="B505" s="260" t="s">
        <v>133</v>
      </c>
      <c r="C505" s="261">
        <v>951</v>
      </c>
      <c r="D505" s="261"/>
      <c r="E505" s="261"/>
      <c r="F505" s="261"/>
      <c r="G505" s="262">
        <f>G506+G608</f>
        <v>476516.14999999997</v>
      </c>
      <c r="H505" s="262">
        <f>H506+H608</f>
        <v>462999.48</v>
      </c>
      <c r="I505" s="262">
        <f>I506+I608</f>
        <v>462999.48</v>
      </c>
      <c r="K505" s="238"/>
    </row>
    <row r="506" spans="1:11" ht="15">
      <c r="A506" s="312">
        <v>463</v>
      </c>
      <c r="B506" s="254" t="s">
        <v>106</v>
      </c>
      <c r="C506" s="38">
        <v>951</v>
      </c>
      <c r="D506" s="38" t="s">
        <v>405</v>
      </c>
      <c r="E506" s="38"/>
      <c r="F506" s="38"/>
      <c r="G506" s="168">
        <f>G507+G528+G574+G583</f>
        <v>469445.85</v>
      </c>
      <c r="H506" s="168">
        <f aca="true" t="shared" si="233" ref="H506:I506">H507+H528+H574+H583</f>
        <v>452555.07999999996</v>
      </c>
      <c r="I506" s="168">
        <f t="shared" si="233"/>
        <v>452555.07999999996</v>
      </c>
      <c r="K506" s="238"/>
    </row>
    <row r="507" spans="1:11" ht="15">
      <c r="A507" s="312">
        <v>464</v>
      </c>
      <c r="B507" s="256" t="s">
        <v>250</v>
      </c>
      <c r="C507" s="38">
        <v>951</v>
      </c>
      <c r="D507" s="38" t="s">
        <v>407</v>
      </c>
      <c r="E507" s="38"/>
      <c r="F507" s="38"/>
      <c r="G507" s="168">
        <f>G508</f>
        <v>158752.31999999998</v>
      </c>
      <c r="H507" s="168">
        <f aca="true" t="shared" si="234" ref="H507:I508">H508</f>
        <v>163484.28999999998</v>
      </c>
      <c r="I507" s="168">
        <f t="shared" si="234"/>
        <v>163484.28999999998</v>
      </c>
      <c r="K507" s="238"/>
    </row>
    <row r="508" spans="1:11" ht="46.8">
      <c r="A508" s="312">
        <v>465</v>
      </c>
      <c r="B508" s="253" t="s">
        <v>108</v>
      </c>
      <c r="C508" s="38">
        <v>951</v>
      </c>
      <c r="D508" s="38" t="s">
        <v>407</v>
      </c>
      <c r="E508" s="38" t="s">
        <v>110</v>
      </c>
      <c r="F508" s="38"/>
      <c r="G508" s="168">
        <f>G509</f>
        <v>158752.31999999998</v>
      </c>
      <c r="H508" s="168">
        <f t="shared" si="234"/>
        <v>163484.28999999998</v>
      </c>
      <c r="I508" s="168">
        <f t="shared" si="234"/>
        <v>163484.28999999998</v>
      </c>
      <c r="K508" s="238"/>
    </row>
    <row r="509" spans="1:11" ht="31.2">
      <c r="A509" s="312">
        <v>466</v>
      </c>
      <c r="B509" s="253" t="s">
        <v>261</v>
      </c>
      <c r="C509" s="38">
        <v>951</v>
      </c>
      <c r="D509" s="38" t="s">
        <v>407</v>
      </c>
      <c r="E509" s="38" t="s">
        <v>262</v>
      </c>
      <c r="F509" s="38"/>
      <c r="G509" s="168">
        <f>G510+G513+G516+G519+G522+G525</f>
        <v>158752.31999999998</v>
      </c>
      <c r="H509" s="168">
        <f aca="true" t="shared" si="235" ref="H509:I509">H510+H513+H516+H519+H522+H525</f>
        <v>163484.28999999998</v>
      </c>
      <c r="I509" s="168">
        <f t="shared" si="235"/>
        <v>163484.28999999998</v>
      </c>
      <c r="K509" s="238"/>
    </row>
    <row r="510" spans="1:11" ht="31.2">
      <c r="A510" s="312">
        <v>467</v>
      </c>
      <c r="B510" s="276" t="s">
        <v>138</v>
      </c>
      <c r="C510" s="38">
        <v>951</v>
      </c>
      <c r="D510" s="38" t="s">
        <v>407</v>
      </c>
      <c r="E510" s="38" t="s">
        <v>301</v>
      </c>
      <c r="F510" s="38"/>
      <c r="G510" s="168">
        <f>G511</f>
        <v>70915.60999999999</v>
      </c>
      <c r="H510" s="168">
        <f aca="true" t="shared" si="236" ref="H510:I510">H511</f>
        <v>74141.79</v>
      </c>
      <c r="I510" s="168">
        <f t="shared" si="236"/>
        <v>74141.79</v>
      </c>
      <c r="K510" s="238"/>
    </row>
    <row r="511" spans="1:11" ht="46.8">
      <c r="A511" s="312">
        <v>468</v>
      </c>
      <c r="B511" s="256" t="s">
        <v>95</v>
      </c>
      <c r="C511" s="38">
        <v>951</v>
      </c>
      <c r="D511" s="38" t="s">
        <v>407</v>
      </c>
      <c r="E511" s="38" t="s">
        <v>301</v>
      </c>
      <c r="F511" s="38">
        <v>600</v>
      </c>
      <c r="G511" s="168">
        <f>G512</f>
        <v>70915.60999999999</v>
      </c>
      <c r="H511" s="168">
        <f aca="true" t="shared" si="237" ref="H511:I511">H512</f>
        <v>74141.79</v>
      </c>
      <c r="I511" s="168">
        <f t="shared" si="237"/>
        <v>74141.79</v>
      </c>
      <c r="K511" s="238"/>
    </row>
    <row r="512" spans="1:12" ht="15">
      <c r="A512" s="312">
        <v>469</v>
      </c>
      <c r="B512" s="256" t="s">
        <v>140</v>
      </c>
      <c r="C512" s="38">
        <v>951</v>
      </c>
      <c r="D512" s="38" t="s">
        <v>407</v>
      </c>
      <c r="E512" s="38" t="s">
        <v>301</v>
      </c>
      <c r="F512" s="38">
        <v>610</v>
      </c>
      <c r="G512" s="168">
        <f>74141.79-936.13+1659.95-5050+1100</f>
        <v>70915.60999999999</v>
      </c>
      <c r="H512" s="168">
        <v>74141.79</v>
      </c>
      <c r="I512" s="168">
        <v>74141.79</v>
      </c>
      <c r="J512" s="235"/>
      <c r="K512" s="238"/>
      <c r="L512" s="272">
        <v>1100</v>
      </c>
    </row>
    <row r="513" spans="1:11" ht="171.6">
      <c r="A513" s="312">
        <v>470</v>
      </c>
      <c r="B513" s="275" t="s">
        <v>318</v>
      </c>
      <c r="C513" s="38">
        <v>951</v>
      </c>
      <c r="D513" s="38" t="s">
        <v>407</v>
      </c>
      <c r="E513" s="38" t="s">
        <v>302</v>
      </c>
      <c r="F513" s="38"/>
      <c r="G513" s="168">
        <f>G514</f>
        <v>32978.9</v>
      </c>
      <c r="H513" s="168">
        <f aca="true" t="shared" si="238" ref="H513:I513">H514</f>
        <v>30266.7</v>
      </c>
      <c r="I513" s="168">
        <f t="shared" si="238"/>
        <v>30266.7</v>
      </c>
      <c r="K513" s="238"/>
    </row>
    <row r="514" spans="1:11" ht="46.8">
      <c r="A514" s="312">
        <v>471</v>
      </c>
      <c r="B514" s="256" t="s">
        <v>95</v>
      </c>
      <c r="C514" s="38">
        <v>951</v>
      </c>
      <c r="D514" s="38" t="s">
        <v>407</v>
      </c>
      <c r="E514" s="38" t="s">
        <v>302</v>
      </c>
      <c r="F514" s="38">
        <v>600</v>
      </c>
      <c r="G514" s="168">
        <f>G515</f>
        <v>32978.9</v>
      </c>
      <c r="H514" s="168">
        <f aca="true" t="shared" si="239" ref="H514:I514">H515</f>
        <v>30266.7</v>
      </c>
      <c r="I514" s="168">
        <f t="shared" si="239"/>
        <v>30266.7</v>
      </c>
      <c r="K514" s="238"/>
    </row>
    <row r="515" spans="1:11" ht="15">
      <c r="A515" s="312">
        <v>472</v>
      </c>
      <c r="B515" s="256" t="s">
        <v>140</v>
      </c>
      <c r="C515" s="38">
        <v>951</v>
      </c>
      <c r="D515" s="38" t="s">
        <v>407</v>
      </c>
      <c r="E515" s="38" t="s">
        <v>302</v>
      </c>
      <c r="F515" s="38">
        <v>610</v>
      </c>
      <c r="G515" s="168">
        <f>30266.7+2712.2</f>
        <v>32978.9</v>
      </c>
      <c r="H515" s="168">
        <v>30266.7</v>
      </c>
      <c r="I515" s="168">
        <v>30266.7</v>
      </c>
      <c r="K515" s="281">
        <v>2712.2</v>
      </c>
    </row>
    <row r="516" spans="1:11" ht="187.2">
      <c r="A516" s="312">
        <v>473</v>
      </c>
      <c r="B516" s="275" t="s">
        <v>319</v>
      </c>
      <c r="C516" s="38">
        <v>951</v>
      </c>
      <c r="D516" s="38" t="s">
        <v>407</v>
      </c>
      <c r="E516" s="38" t="s">
        <v>330</v>
      </c>
      <c r="F516" s="38"/>
      <c r="G516" s="168">
        <f>G517</f>
        <v>50776.100000000006</v>
      </c>
      <c r="H516" s="168">
        <f aca="true" t="shared" si="240" ref="H516:I516">H517</f>
        <v>51911.8</v>
      </c>
      <c r="I516" s="168">
        <f t="shared" si="240"/>
        <v>51911.8</v>
      </c>
      <c r="K516" s="238"/>
    </row>
    <row r="517" spans="1:11" ht="46.8">
      <c r="A517" s="312">
        <v>474</v>
      </c>
      <c r="B517" s="256" t="s">
        <v>95</v>
      </c>
      <c r="C517" s="38">
        <v>951</v>
      </c>
      <c r="D517" s="38" t="s">
        <v>407</v>
      </c>
      <c r="E517" s="38" t="s">
        <v>330</v>
      </c>
      <c r="F517" s="38">
        <v>600</v>
      </c>
      <c r="G517" s="168">
        <f>G518</f>
        <v>50776.100000000006</v>
      </c>
      <c r="H517" s="168">
        <f aca="true" t="shared" si="241" ref="H517:I517">H518</f>
        <v>51911.8</v>
      </c>
      <c r="I517" s="168">
        <f t="shared" si="241"/>
        <v>51911.8</v>
      </c>
      <c r="K517" s="238"/>
    </row>
    <row r="518" spans="1:11" ht="15">
      <c r="A518" s="312">
        <v>475</v>
      </c>
      <c r="B518" s="256" t="s">
        <v>140</v>
      </c>
      <c r="C518" s="38">
        <v>951</v>
      </c>
      <c r="D518" s="38" t="s">
        <v>407</v>
      </c>
      <c r="E518" s="38" t="s">
        <v>330</v>
      </c>
      <c r="F518" s="38">
        <v>610</v>
      </c>
      <c r="G518" s="168">
        <f>51911.8-1643.1+507.4</f>
        <v>50776.100000000006</v>
      </c>
      <c r="H518" s="168">
        <v>51911.8</v>
      </c>
      <c r="I518" s="168">
        <v>51911.8</v>
      </c>
      <c r="K518" s="281">
        <v>507.4</v>
      </c>
    </row>
    <row r="519" spans="1:11" ht="187.2">
      <c r="A519" s="312">
        <v>476</v>
      </c>
      <c r="B519" s="267" t="s">
        <v>303</v>
      </c>
      <c r="C519" s="38">
        <v>951</v>
      </c>
      <c r="D519" s="38" t="s">
        <v>407</v>
      </c>
      <c r="E519" s="38" t="s">
        <v>331</v>
      </c>
      <c r="F519" s="38"/>
      <c r="G519" s="168">
        <f>G520</f>
        <v>324</v>
      </c>
      <c r="H519" s="168">
        <f aca="true" t="shared" si="242" ref="H519:I519">H520</f>
        <v>324</v>
      </c>
      <c r="I519" s="168">
        <f t="shared" si="242"/>
        <v>324</v>
      </c>
      <c r="K519" s="238"/>
    </row>
    <row r="520" spans="1:11" ht="46.8">
      <c r="A520" s="312">
        <v>477</v>
      </c>
      <c r="B520" s="256" t="s">
        <v>95</v>
      </c>
      <c r="C520" s="38">
        <v>951</v>
      </c>
      <c r="D520" s="38" t="s">
        <v>407</v>
      </c>
      <c r="E520" s="38" t="s">
        <v>331</v>
      </c>
      <c r="F520" s="38">
        <v>600</v>
      </c>
      <c r="G520" s="168">
        <f>G521</f>
        <v>324</v>
      </c>
      <c r="H520" s="168">
        <f aca="true" t="shared" si="243" ref="H520:I520">H521</f>
        <v>324</v>
      </c>
      <c r="I520" s="168">
        <f t="shared" si="243"/>
        <v>324</v>
      </c>
      <c r="K520" s="238"/>
    </row>
    <row r="521" spans="1:11" ht="15">
      <c r="A521" s="312">
        <v>478</v>
      </c>
      <c r="B521" s="256" t="s">
        <v>140</v>
      </c>
      <c r="C521" s="38">
        <v>951</v>
      </c>
      <c r="D521" s="38" t="s">
        <v>407</v>
      </c>
      <c r="E521" s="38" t="s">
        <v>331</v>
      </c>
      <c r="F521" s="38">
        <v>610</v>
      </c>
      <c r="G521" s="168">
        <v>324</v>
      </c>
      <c r="H521" s="168">
        <v>324</v>
      </c>
      <c r="I521" s="168">
        <v>324</v>
      </c>
      <c r="K521" s="238"/>
    </row>
    <row r="522" spans="1:11" ht="31.2">
      <c r="A522" s="312">
        <v>479</v>
      </c>
      <c r="B522" s="77" t="s">
        <v>364</v>
      </c>
      <c r="C522" s="38">
        <v>951</v>
      </c>
      <c r="D522" s="38" t="s">
        <v>407</v>
      </c>
      <c r="E522" s="38" t="s">
        <v>494</v>
      </c>
      <c r="F522" s="38"/>
      <c r="G522" s="168">
        <f>G523</f>
        <v>1447.6799999999998</v>
      </c>
      <c r="H522" s="168">
        <f aca="true" t="shared" si="244" ref="H522:I523">H523</f>
        <v>840</v>
      </c>
      <c r="I522" s="168">
        <f t="shared" si="244"/>
        <v>840</v>
      </c>
      <c r="K522" s="238"/>
    </row>
    <row r="523" spans="1:11" ht="46.8">
      <c r="A523" s="312">
        <v>480</v>
      </c>
      <c r="B523" s="256" t="s">
        <v>95</v>
      </c>
      <c r="C523" s="38">
        <v>951</v>
      </c>
      <c r="D523" s="38" t="s">
        <v>407</v>
      </c>
      <c r="E523" s="38" t="s">
        <v>494</v>
      </c>
      <c r="F523" s="38">
        <v>600</v>
      </c>
      <c r="G523" s="168">
        <f>G524</f>
        <v>1447.6799999999998</v>
      </c>
      <c r="H523" s="168">
        <f t="shared" si="244"/>
        <v>840</v>
      </c>
      <c r="I523" s="168">
        <f t="shared" si="244"/>
        <v>840</v>
      </c>
      <c r="K523" s="238"/>
    </row>
    <row r="524" spans="1:11" ht="15">
      <c r="A524" s="312">
        <v>481</v>
      </c>
      <c r="B524" s="256" t="s">
        <v>140</v>
      </c>
      <c r="C524" s="38">
        <v>951</v>
      </c>
      <c r="D524" s="38" t="s">
        <v>407</v>
      </c>
      <c r="E524" s="38" t="s">
        <v>494</v>
      </c>
      <c r="F524" s="38">
        <v>610</v>
      </c>
      <c r="G524" s="168">
        <f>840+607.68</f>
        <v>1447.6799999999998</v>
      </c>
      <c r="H524" s="168">
        <v>840</v>
      </c>
      <c r="I524" s="168">
        <v>840</v>
      </c>
      <c r="K524" s="238"/>
    </row>
    <row r="525" spans="1:11" ht="46.8">
      <c r="A525" s="312">
        <v>482</v>
      </c>
      <c r="B525" s="252" t="s">
        <v>373</v>
      </c>
      <c r="C525" s="38">
        <v>951</v>
      </c>
      <c r="D525" s="38" t="s">
        <v>407</v>
      </c>
      <c r="E525" s="38" t="s">
        <v>495</v>
      </c>
      <c r="F525" s="38"/>
      <c r="G525" s="168">
        <f>G526</f>
        <v>2310.0299999999997</v>
      </c>
      <c r="H525" s="168">
        <f aca="true" t="shared" si="245" ref="H525:I525">H526</f>
        <v>6000</v>
      </c>
      <c r="I525" s="168">
        <f t="shared" si="245"/>
        <v>6000</v>
      </c>
      <c r="K525" s="238"/>
    </row>
    <row r="526" spans="1:11" ht="46.8">
      <c r="A526" s="312">
        <v>483</v>
      </c>
      <c r="B526" s="256" t="s">
        <v>95</v>
      </c>
      <c r="C526" s="38">
        <v>951</v>
      </c>
      <c r="D526" s="38" t="s">
        <v>407</v>
      </c>
      <c r="E526" s="38" t="s">
        <v>495</v>
      </c>
      <c r="F526" s="38">
        <v>600</v>
      </c>
      <c r="G526" s="168">
        <f>G527</f>
        <v>2310.0299999999997</v>
      </c>
      <c r="H526" s="168">
        <f aca="true" t="shared" si="246" ref="H526:I526">H527</f>
        <v>6000</v>
      </c>
      <c r="I526" s="168">
        <f t="shared" si="246"/>
        <v>6000</v>
      </c>
      <c r="K526" s="238"/>
    </row>
    <row r="527" spans="1:11" ht="15">
      <c r="A527" s="312">
        <v>484</v>
      </c>
      <c r="B527" s="256" t="s">
        <v>140</v>
      </c>
      <c r="C527" s="38">
        <v>951</v>
      </c>
      <c r="D527" s="38" t="s">
        <v>407</v>
      </c>
      <c r="E527" s="38" t="s">
        <v>495</v>
      </c>
      <c r="F527" s="38">
        <v>610</v>
      </c>
      <c r="G527" s="168">
        <f>6000-3163.63-526.34</f>
        <v>2310.0299999999997</v>
      </c>
      <c r="H527" s="168">
        <v>6000</v>
      </c>
      <c r="I527" s="168">
        <v>6000</v>
      </c>
      <c r="K527" s="238"/>
    </row>
    <row r="528" spans="1:11" ht="15">
      <c r="A528" s="312">
        <v>485</v>
      </c>
      <c r="B528" s="253" t="s">
        <v>135</v>
      </c>
      <c r="C528" s="38">
        <v>951</v>
      </c>
      <c r="D528" s="38" t="s">
        <v>386</v>
      </c>
      <c r="E528" s="38"/>
      <c r="F528" s="38"/>
      <c r="G528" s="168">
        <f>G529</f>
        <v>286164.31000000006</v>
      </c>
      <c r="H528" s="168">
        <f aca="true" t="shared" si="247" ref="H528:I528">H529</f>
        <v>265474.13</v>
      </c>
      <c r="I528" s="168">
        <f t="shared" si="247"/>
        <v>265474.13</v>
      </c>
      <c r="K528" s="238"/>
    </row>
    <row r="529" spans="1:11" ht="46.8">
      <c r="A529" s="312">
        <v>486</v>
      </c>
      <c r="B529" s="253" t="s">
        <v>108</v>
      </c>
      <c r="C529" s="38">
        <v>951</v>
      </c>
      <c r="D529" s="38" t="s">
        <v>386</v>
      </c>
      <c r="E529" s="38" t="s">
        <v>110</v>
      </c>
      <c r="F529" s="38"/>
      <c r="G529" s="168">
        <f>G530+G558</f>
        <v>286164.31000000006</v>
      </c>
      <c r="H529" s="168">
        <f>H530+H558</f>
        <v>265474.13</v>
      </c>
      <c r="I529" s="168">
        <f>I530+I558</f>
        <v>265474.13</v>
      </c>
      <c r="K529" s="238"/>
    </row>
    <row r="530" spans="1:11" ht="15">
      <c r="A530" s="312">
        <v>487</v>
      </c>
      <c r="B530" s="253" t="s">
        <v>263</v>
      </c>
      <c r="C530" s="38">
        <v>951</v>
      </c>
      <c r="D530" s="38" t="s">
        <v>386</v>
      </c>
      <c r="E530" s="38" t="s">
        <v>264</v>
      </c>
      <c r="F530" s="38"/>
      <c r="G530" s="168">
        <f>G531+G534+G537+G543+G546+G552+G549+G540+G555</f>
        <v>268254.92000000004</v>
      </c>
      <c r="H530" s="168">
        <f aca="true" t="shared" si="248" ref="H530:I530">H531+H534+H537+H543+H546+H552+H549</f>
        <v>247448.11</v>
      </c>
      <c r="I530" s="168">
        <f t="shared" si="248"/>
        <v>247448.11</v>
      </c>
      <c r="K530" s="238"/>
    </row>
    <row r="531" spans="1:11" ht="31.2">
      <c r="A531" s="312">
        <v>488</v>
      </c>
      <c r="B531" s="276" t="s">
        <v>138</v>
      </c>
      <c r="C531" s="38">
        <v>951</v>
      </c>
      <c r="D531" s="38" t="s">
        <v>386</v>
      </c>
      <c r="E531" s="38" t="s">
        <v>304</v>
      </c>
      <c r="F531" s="38"/>
      <c r="G531" s="168">
        <f>G532</f>
        <v>97101.5</v>
      </c>
      <c r="H531" s="168">
        <f aca="true" t="shared" si="249" ref="H531:I532">H532</f>
        <v>83377.84</v>
      </c>
      <c r="I531" s="168">
        <f t="shared" si="249"/>
        <v>83377.84</v>
      </c>
      <c r="K531" s="238"/>
    </row>
    <row r="532" spans="1:11" ht="46.8">
      <c r="A532" s="312">
        <v>489</v>
      </c>
      <c r="B532" s="256" t="s">
        <v>95</v>
      </c>
      <c r="C532" s="38">
        <v>951</v>
      </c>
      <c r="D532" s="38" t="s">
        <v>386</v>
      </c>
      <c r="E532" s="38" t="s">
        <v>304</v>
      </c>
      <c r="F532" s="38">
        <v>600</v>
      </c>
      <c r="G532" s="168">
        <f>G533</f>
        <v>97101.5</v>
      </c>
      <c r="H532" s="168">
        <f t="shared" si="249"/>
        <v>83377.84</v>
      </c>
      <c r="I532" s="168">
        <f t="shared" si="249"/>
        <v>83377.84</v>
      </c>
      <c r="K532" s="238"/>
    </row>
    <row r="533" spans="1:12" ht="15">
      <c r="A533" s="312">
        <v>490</v>
      </c>
      <c r="B533" s="256" t="s">
        <v>140</v>
      </c>
      <c r="C533" s="38">
        <v>951</v>
      </c>
      <c r="D533" s="38" t="s">
        <v>386</v>
      </c>
      <c r="E533" s="38" t="s">
        <v>304</v>
      </c>
      <c r="F533" s="38">
        <v>610</v>
      </c>
      <c r="G533" s="168">
        <f>83377.84+936.13+2372.83+5582.9+2031.8+2800</f>
        <v>97101.5</v>
      </c>
      <c r="H533" s="168">
        <v>83377.84</v>
      </c>
      <c r="I533" s="168">
        <v>83377.84</v>
      </c>
      <c r="J533" s="235"/>
      <c r="K533" s="238"/>
      <c r="L533" s="272">
        <f>2031.8+2800</f>
        <v>4831.8</v>
      </c>
    </row>
    <row r="534" spans="1:11" ht="46.8">
      <c r="A534" s="312">
        <v>491</v>
      </c>
      <c r="B534" s="251" t="s">
        <v>461</v>
      </c>
      <c r="C534" s="38">
        <v>951</v>
      </c>
      <c r="D534" s="38" t="s">
        <v>386</v>
      </c>
      <c r="E534" s="38" t="s">
        <v>462</v>
      </c>
      <c r="F534" s="38"/>
      <c r="G534" s="168">
        <f>G535</f>
        <v>2092.4</v>
      </c>
      <c r="H534" s="168">
        <f aca="true" t="shared" si="250" ref="H534:I534">H535</f>
        <v>2092.4</v>
      </c>
      <c r="I534" s="168">
        <f t="shared" si="250"/>
        <v>2092.4</v>
      </c>
      <c r="K534" s="238"/>
    </row>
    <row r="535" spans="1:11" ht="46.8">
      <c r="A535" s="312">
        <v>492</v>
      </c>
      <c r="B535" s="256" t="s">
        <v>95</v>
      </c>
      <c r="C535" s="38">
        <v>951</v>
      </c>
      <c r="D535" s="38" t="s">
        <v>386</v>
      </c>
      <c r="E535" s="38" t="s">
        <v>462</v>
      </c>
      <c r="F535" s="38">
        <v>600</v>
      </c>
      <c r="G535" s="168">
        <f>G536</f>
        <v>2092.4</v>
      </c>
      <c r="H535" s="168">
        <f aca="true" t="shared" si="251" ref="H535:I535">H536</f>
        <v>2092.4</v>
      </c>
      <c r="I535" s="168">
        <f t="shared" si="251"/>
        <v>2092.4</v>
      </c>
      <c r="K535" s="238"/>
    </row>
    <row r="536" spans="1:11" ht="15">
      <c r="A536" s="312">
        <v>493</v>
      </c>
      <c r="B536" s="256" t="s">
        <v>140</v>
      </c>
      <c r="C536" s="38">
        <v>951</v>
      </c>
      <c r="D536" s="38" t="s">
        <v>386</v>
      </c>
      <c r="E536" s="38" t="s">
        <v>462</v>
      </c>
      <c r="F536" s="38">
        <v>610</v>
      </c>
      <c r="G536" s="168">
        <v>2092.4</v>
      </c>
      <c r="H536" s="168">
        <v>2092.4</v>
      </c>
      <c r="I536" s="168">
        <v>2092.4</v>
      </c>
      <c r="K536" s="238"/>
    </row>
    <row r="537" spans="1:11" ht="171.6">
      <c r="A537" s="312">
        <v>494</v>
      </c>
      <c r="B537" s="275" t="s">
        <v>320</v>
      </c>
      <c r="C537" s="38">
        <v>951</v>
      </c>
      <c r="D537" s="38" t="s">
        <v>386</v>
      </c>
      <c r="E537" s="38" t="s">
        <v>305</v>
      </c>
      <c r="F537" s="38"/>
      <c r="G537" s="168">
        <f>G538</f>
        <v>29328.5</v>
      </c>
      <c r="H537" s="168">
        <f aca="true" t="shared" si="252" ref="H537:I538">H538</f>
        <v>27816</v>
      </c>
      <c r="I537" s="168">
        <f t="shared" si="252"/>
        <v>27816</v>
      </c>
      <c r="K537" s="238"/>
    </row>
    <row r="538" spans="1:11" ht="46.8">
      <c r="A538" s="312">
        <v>495</v>
      </c>
      <c r="B538" s="256" t="s">
        <v>95</v>
      </c>
      <c r="C538" s="38">
        <v>951</v>
      </c>
      <c r="D538" s="38" t="s">
        <v>386</v>
      </c>
      <c r="E538" s="38" t="s">
        <v>305</v>
      </c>
      <c r="F538" s="38">
        <v>600</v>
      </c>
      <c r="G538" s="168">
        <f>G539</f>
        <v>29328.5</v>
      </c>
      <c r="H538" s="168">
        <f t="shared" si="252"/>
        <v>27816</v>
      </c>
      <c r="I538" s="168">
        <f t="shared" si="252"/>
        <v>27816</v>
      </c>
      <c r="K538" s="238"/>
    </row>
    <row r="539" spans="1:11" ht="15">
      <c r="A539" s="312">
        <v>496</v>
      </c>
      <c r="B539" s="256" t="s">
        <v>140</v>
      </c>
      <c r="C539" s="38">
        <v>951</v>
      </c>
      <c r="D539" s="38" t="s">
        <v>386</v>
      </c>
      <c r="E539" s="38" t="s">
        <v>305</v>
      </c>
      <c r="F539" s="38">
        <v>610</v>
      </c>
      <c r="G539" s="168">
        <f>27816+1512.5</f>
        <v>29328.5</v>
      </c>
      <c r="H539" s="168">
        <v>27816</v>
      </c>
      <c r="I539" s="168">
        <v>27816</v>
      </c>
      <c r="K539" s="281">
        <v>1512.5</v>
      </c>
    </row>
    <row r="540" spans="1:11" ht="93.6">
      <c r="A540" s="312">
        <v>497</v>
      </c>
      <c r="B540" s="256" t="s">
        <v>538</v>
      </c>
      <c r="C540" s="38">
        <v>951</v>
      </c>
      <c r="D540" s="38" t="s">
        <v>386</v>
      </c>
      <c r="E540" s="38" t="s">
        <v>539</v>
      </c>
      <c r="F540" s="38"/>
      <c r="G540" s="168">
        <f>G541</f>
        <v>1477</v>
      </c>
      <c r="H540" s="168">
        <f aca="true" t="shared" si="253" ref="H540:I541">H541</f>
        <v>0</v>
      </c>
      <c r="I540" s="168">
        <f t="shared" si="253"/>
        <v>0</v>
      </c>
      <c r="K540" s="238"/>
    </row>
    <row r="541" spans="1:11" ht="46.8">
      <c r="A541" s="312">
        <v>498</v>
      </c>
      <c r="B541" s="256" t="s">
        <v>95</v>
      </c>
      <c r="C541" s="38">
        <v>951</v>
      </c>
      <c r="D541" s="38" t="s">
        <v>386</v>
      </c>
      <c r="E541" s="38" t="s">
        <v>539</v>
      </c>
      <c r="F541" s="38">
        <v>600</v>
      </c>
      <c r="G541" s="168">
        <f>G542</f>
        <v>1477</v>
      </c>
      <c r="H541" s="168">
        <f t="shared" si="253"/>
        <v>0</v>
      </c>
      <c r="I541" s="168">
        <f t="shared" si="253"/>
        <v>0</v>
      </c>
      <c r="K541" s="238"/>
    </row>
    <row r="542" spans="1:11" ht="15">
      <c r="A542" s="312">
        <v>499</v>
      </c>
      <c r="B542" s="256" t="s">
        <v>140</v>
      </c>
      <c r="C542" s="38">
        <v>951</v>
      </c>
      <c r="D542" s="38" t="s">
        <v>386</v>
      </c>
      <c r="E542" s="38" t="s">
        <v>539</v>
      </c>
      <c r="F542" s="38">
        <v>610</v>
      </c>
      <c r="G542" s="168">
        <v>1477</v>
      </c>
      <c r="H542" s="168">
        <v>0</v>
      </c>
      <c r="I542" s="168">
        <v>0</v>
      </c>
      <c r="K542" s="238"/>
    </row>
    <row r="543" spans="1:11" ht="171.6">
      <c r="A543" s="312">
        <v>500</v>
      </c>
      <c r="B543" s="267" t="s">
        <v>321</v>
      </c>
      <c r="C543" s="38">
        <v>951</v>
      </c>
      <c r="D543" s="38" t="s">
        <v>386</v>
      </c>
      <c r="E543" s="38" t="s">
        <v>306</v>
      </c>
      <c r="F543" s="38"/>
      <c r="G543" s="168">
        <f>G544</f>
        <v>134278.69999999998</v>
      </c>
      <c r="H543" s="168">
        <f aca="true" t="shared" si="254" ref="H543:I544">H544</f>
        <v>131760.1</v>
      </c>
      <c r="I543" s="168">
        <f t="shared" si="254"/>
        <v>131760.1</v>
      </c>
      <c r="K543" s="238"/>
    </row>
    <row r="544" spans="1:11" ht="46.8">
      <c r="A544" s="312">
        <v>501</v>
      </c>
      <c r="B544" s="256" t="s">
        <v>95</v>
      </c>
      <c r="C544" s="38">
        <v>951</v>
      </c>
      <c r="D544" s="38" t="s">
        <v>386</v>
      </c>
      <c r="E544" s="38" t="s">
        <v>306</v>
      </c>
      <c r="F544" s="38">
        <v>600</v>
      </c>
      <c r="G544" s="168">
        <f>G545</f>
        <v>134278.69999999998</v>
      </c>
      <c r="H544" s="168">
        <f t="shared" si="254"/>
        <v>131760.1</v>
      </c>
      <c r="I544" s="168">
        <f t="shared" si="254"/>
        <v>131760.1</v>
      </c>
      <c r="K544" s="238"/>
    </row>
    <row r="545" spans="1:13" ht="15">
      <c r="A545" s="312">
        <v>502</v>
      </c>
      <c r="B545" s="256" t="s">
        <v>140</v>
      </c>
      <c r="C545" s="38">
        <v>951</v>
      </c>
      <c r="D545" s="38" t="s">
        <v>386</v>
      </c>
      <c r="E545" s="38" t="s">
        <v>306</v>
      </c>
      <c r="F545" s="38">
        <v>610</v>
      </c>
      <c r="G545" s="168">
        <f>132102.9+2175.8</f>
        <v>134278.69999999998</v>
      </c>
      <c r="H545" s="168">
        <v>131760.1</v>
      </c>
      <c r="I545" s="168">
        <v>131760.1</v>
      </c>
      <c r="K545" s="281">
        <v>2175.8</v>
      </c>
      <c r="L545" s="236"/>
      <c r="M545" s="236"/>
    </row>
    <row r="546" spans="1:11" ht="31.2">
      <c r="A546" s="312">
        <v>503</v>
      </c>
      <c r="B546" s="77" t="s">
        <v>365</v>
      </c>
      <c r="C546" s="38">
        <v>951</v>
      </c>
      <c r="D546" s="38" t="s">
        <v>386</v>
      </c>
      <c r="E546" s="38" t="s">
        <v>366</v>
      </c>
      <c r="F546" s="38"/>
      <c r="G546" s="168">
        <f>G547</f>
        <v>1584.21</v>
      </c>
      <c r="H546" s="168">
        <f aca="true" t="shared" si="255" ref="H546:I547">H547</f>
        <v>1155</v>
      </c>
      <c r="I546" s="168">
        <f t="shared" si="255"/>
        <v>1155</v>
      </c>
      <c r="K546" s="238"/>
    </row>
    <row r="547" spans="1:11" ht="46.8">
      <c r="A547" s="312">
        <v>504</v>
      </c>
      <c r="B547" s="256" t="s">
        <v>95</v>
      </c>
      <c r="C547" s="38">
        <v>951</v>
      </c>
      <c r="D547" s="38" t="s">
        <v>386</v>
      </c>
      <c r="E547" s="38" t="s">
        <v>366</v>
      </c>
      <c r="F547" s="38">
        <v>600</v>
      </c>
      <c r="G547" s="168">
        <f>G548</f>
        <v>1584.21</v>
      </c>
      <c r="H547" s="168">
        <f t="shared" si="255"/>
        <v>1155</v>
      </c>
      <c r="I547" s="168">
        <f t="shared" si="255"/>
        <v>1155</v>
      </c>
      <c r="K547" s="238"/>
    </row>
    <row r="548" spans="1:12" ht="15">
      <c r="A548" s="312">
        <v>505</v>
      </c>
      <c r="B548" s="256" t="s">
        <v>140</v>
      </c>
      <c r="C548" s="38">
        <v>951</v>
      </c>
      <c r="D548" s="38" t="s">
        <v>386</v>
      </c>
      <c r="E548" s="38" t="s">
        <v>366</v>
      </c>
      <c r="F548" s="38">
        <v>610</v>
      </c>
      <c r="G548" s="168">
        <f>1155+479.21-50</f>
        <v>1584.21</v>
      </c>
      <c r="H548" s="168">
        <v>1155</v>
      </c>
      <c r="I548" s="168">
        <v>1155</v>
      </c>
      <c r="K548" s="238"/>
      <c r="L548" s="272">
        <v>-50</v>
      </c>
    </row>
    <row r="549" spans="1:11" ht="31.2">
      <c r="A549" s="312">
        <v>506</v>
      </c>
      <c r="B549" s="78" t="s">
        <v>369</v>
      </c>
      <c r="C549" s="38">
        <v>951</v>
      </c>
      <c r="D549" s="38" t="s">
        <v>386</v>
      </c>
      <c r="E549" s="38" t="s">
        <v>370</v>
      </c>
      <c r="F549" s="38"/>
      <c r="G549" s="168">
        <f>G550</f>
        <v>1246.77</v>
      </c>
      <c r="H549" s="168">
        <f aca="true" t="shared" si="256" ref="H549:I550">H550</f>
        <v>1246.77</v>
      </c>
      <c r="I549" s="168">
        <f t="shared" si="256"/>
        <v>1246.77</v>
      </c>
      <c r="K549" s="238"/>
    </row>
    <row r="550" spans="1:11" ht="46.8">
      <c r="A550" s="312">
        <v>507</v>
      </c>
      <c r="B550" s="256" t="s">
        <v>95</v>
      </c>
      <c r="C550" s="38">
        <v>951</v>
      </c>
      <c r="D550" s="38" t="s">
        <v>386</v>
      </c>
      <c r="E550" s="38" t="s">
        <v>370</v>
      </c>
      <c r="F550" s="38">
        <v>600</v>
      </c>
      <c r="G550" s="168">
        <f>G551</f>
        <v>1246.77</v>
      </c>
      <c r="H550" s="168">
        <f t="shared" si="256"/>
        <v>1246.77</v>
      </c>
      <c r="I550" s="168">
        <f t="shared" si="256"/>
        <v>1246.77</v>
      </c>
      <c r="K550" s="238"/>
    </row>
    <row r="551" spans="1:11" ht="15">
      <c r="A551" s="312">
        <v>508</v>
      </c>
      <c r="B551" s="256" t="s">
        <v>140</v>
      </c>
      <c r="C551" s="38">
        <v>951</v>
      </c>
      <c r="D551" s="38" t="s">
        <v>386</v>
      </c>
      <c r="E551" s="38" t="s">
        <v>370</v>
      </c>
      <c r="F551" s="38">
        <v>610</v>
      </c>
      <c r="G551" s="168">
        <v>1246.77</v>
      </c>
      <c r="H551" s="168">
        <v>1246.77</v>
      </c>
      <c r="I551" s="168">
        <v>1246.77</v>
      </c>
      <c r="K551" s="238"/>
    </row>
    <row r="552" spans="1:11" ht="93.6">
      <c r="A552" s="312">
        <v>509</v>
      </c>
      <c r="B552" s="277" t="s">
        <v>430</v>
      </c>
      <c r="C552" s="38">
        <v>951</v>
      </c>
      <c r="D552" s="38" t="s">
        <v>386</v>
      </c>
      <c r="E552" s="38" t="s">
        <v>419</v>
      </c>
      <c r="F552" s="38"/>
      <c r="G552" s="168">
        <f>G553</f>
        <v>1141</v>
      </c>
      <c r="H552" s="168">
        <f aca="true" t="shared" si="257" ref="H552:I553">H553</f>
        <v>0</v>
      </c>
      <c r="I552" s="168">
        <f t="shared" si="257"/>
        <v>0</v>
      </c>
      <c r="K552" s="238"/>
    </row>
    <row r="553" spans="1:11" ht="46.8">
      <c r="A553" s="312">
        <v>510</v>
      </c>
      <c r="B553" s="256" t="s">
        <v>95</v>
      </c>
      <c r="C553" s="38">
        <v>951</v>
      </c>
      <c r="D553" s="38" t="s">
        <v>386</v>
      </c>
      <c r="E553" s="38" t="s">
        <v>419</v>
      </c>
      <c r="F553" s="38">
        <v>600</v>
      </c>
      <c r="G553" s="168">
        <f>G554</f>
        <v>1141</v>
      </c>
      <c r="H553" s="168">
        <f t="shared" si="257"/>
        <v>0</v>
      </c>
      <c r="I553" s="168">
        <f t="shared" si="257"/>
        <v>0</v>
      </c>
      <c r="K553" s="238"/>
    </row>
    <row r="554" spans="1:12" ht="15">
      <c r="A554" s="312">
        <v>511</v>
      </c>
      <c r="B554" s="256" t="s">
        <v>140</v>
      </c>
      <c r="C554" s="38">
        <v>951</v>
      </c>
      <c r="D554" s="38" t="s">
        <v>386</v>
      </c>
      <c r="E554" s="38" t="s">
        <v>419</v>
      </c>
      <c r="F554" s="38">
        <v>610</v>
      </c>
      <c r="G554" s="168">
        <f>1500-200-159</f>
        <v>1141</v>
      </c>
      <c r="H554" s="168">
        <v>0</v>
      </c>
      <c r="I554" s="168">
        <v>0</v>
      </c>
      <c r="K554" s="238"/>
      <c r="L554" s="272">
        <v>-159</v>
      </c>
    </row>
    <row r="555" spans="1:11" ht="109.2">
      <c r="A555" s="312">
        <v>512</v>
      </c>
      <c r="B555" s="255" t="s">
        <v>541</v>
      </c>
      <c r="C555" s="38">
        <v>951</v>
      </c>
      <c r="D555" s="38" t="s">
        <v>386</v>
      </c>
      <c r="E555" s="38" t="s">
        <v>540</v>
      </c>
      <c r="F555" s="38"/>
      <c r="G555" s="168">
        <f>G556</f>
        <v>4.84</v>
      </c>
      <c r="H555" s="168">
        <f aca="true" t="shared" si="258" ref="H555:I556">H556</f>
        <v>0</v>
      </c>
      <c r="I555" s="168">
        <f t="shared" si="258"/>
        <v>0</v>
      </c>
      <c r="K555" s="238"/>
    </row>
    <row r="556" spans="1:11" ht="31.2">
      <c r="A556" s="312">
        <v>513</v>
      </c>
      <c r="B556" s="314" t="s">
        <v>32</v>
      </c>
      <c r="C556" s="38">
        <v>951</v>
      </c>
      <c r="D556" s="38" t="s">
        <v>386</v>
      </c>
      <c r="E556" s="38" t="s">
        <v>540</v>
      </c>
      <c r="F556" s="38">
        <v>200</v>
      </c>
      <c r="G556" s="168">
        <f>G557</f>
        <v>4.84</v>
      </c>
      <c r="H556" s="168">
        <f t="shared" si="258"/>
        <v>0</v>
      </c>
      <c r="I556" s="168">
        <f t="shared" si="258"/>
        <v>0</v>
      </c>
      <c r="K556" s="238"/>
    </row>
    <row r="557" spans="1:11" ht="46.8">
      <c r="A557" s="312">
        <v>514</v>
      </c>
      <c r="B557" s="314" t="s">
        <v>33</v>
      </c>
      <c r="C557" s="38">
        <v>951</v>
      </c>
      <c r="D557" s="38" t="s">
        <v>386</v>
      </c>
      <c r="E557" s="38" t="s">
        <v>540</v>
      </c>
      <c r="F557" s="38">
        <v>240</v>
      </c>
      <c r="G557" s="168">
        <v>4.84</v>
      </c>
      <c r="H557" s="168">
        <v>0</v>
      </c>
      <c r="I557" s="168">
        <v>0</v>
      </c>
      <c r="K557" s="238"/>
    </row>
    <row r="558" spans="1:11" ht="31.2">
      <c r="A558" s="312">
        <v>515</v>
      </c>
      <c r="B558" s="253" t="s">
        <v>265</v>
      </c>
      <c r="C558" s="38">
        <v>951</v>
      </c>
      <c r="D558" s="38" t="s">
        <v>386</v>
      </c>
      <c r="E558" s="38" t="s">
        <v>266</v>
      </c>
      <c r="F558" s="38"/>
      <c r="G558" s="168">
        <f>G559+G565+G568+G571+G562</f>
        <v>17909.39</v>
      </c>
      <c r="H558" s="168">
        <f aca="true" t="shared" si="259" ref="H558:I558">H559+H565+H568+H571</f>
        <v>18026.02</v>
      </c>
      <c r="I558" s="168">
        <f t="shared" si="259"/>
        <v>18026.02</v>
      </c>
      <c r="K558" s="238"/>
    </row>
    <row r="559" spans="1:11" ht="31.2">
      <c r="A559" s="312">
        <v>516</v>
      </c>
      <c r="B559" s="256" t="s">
        <v>138</v>
      </c>
      <c r="C559" s="38">
        <v>951</v>
      </c>
      <c r="D559" s="38" t="s">
        <v>386</v>
      </c>
      <c r="E559" s="38" t="s">
        <v>307</v>
      </c>
      <c r="F559" s="38"/>
      <c r="G559" s="168">
        <f>G560</f>
        <v>16428.27</v>
      </c>
      <c r="H559" s="168">
        <f aca="true" t="shared" si="260" ref="H559:I559">H560</f>
        <v>16858.4</v>
      </c>
      <c r="I559" s="168">
        <f t="shared" si="260"/>
        <v>16858.4</v>
      </c>
      <c r="K559" s="238"/>
    </row>
    <row r="560" spans="1:11" ht="46.8">
      <c r="A560" s="312">
        <v>517</v>
      </c>
      <c r="B560" s="256" t="s">
        <v>95</v>
      </c>
      <c r="C560" s="38">
        <v>951</v>
      </c>
      <c r="D560" s="38" t="s">
        <v>386</v>
      </c>
      <c r="E560" s="38" t="s">
        <v>307</v>
      </c>
      <c r="F560" s="38">
        <v>600</v>
      </c>
      <c r="G560" s="168">
        <f>G561</f>
        <v>16428.27</v>
      </c>
      <c r="H560" s="168">
        <f aca="true" t="shared" si="261" ref="H560:I560">H561</f>
        <v>16858.4</v>
      </c>
      <c r="I560" s="168">
        <f t="shared" si="261"/>
        <v>16858.4</v>
      </c>
      <c r="K560" s="238"/>
    </row>
    <row r="561" spans="1:11" ht="15">
      <c r="A561" s="312">
        <v>518</v>
      </c>
      <c r="B561" s="256" t="s">
        <v>140</v>
      </c>
      <c r="C561" s="38">
        <v>951</v>
      </c>
      <c r="D561" s="38" t="s">
        <v>386</v>
      </c>
      <c r="E561" s="38" t="s">
        <v>307</v>
      </c>
      <c r="F561" s="38">
        <v>610</v>
      </c>
      <c r="G561" s="168">
        <f>16858.4+364.09-794.22</f>
        <v>16428.27</v>
      </c>
      <c r="H561" s="168">
        <v>16858.4</v>
      </c>
      <c r="I561" s="168">
        <v>16858.4</v>
      </c>
      <c r="K561" s="238"/>
    </row>
    <row r="562" spans="1:11" ht="124.8">
      <c r="A562" s="312">
        <v>519</v>
      </c>
      <c r="B562" s="256" t="s">
        <v>578</v>
      </c>
      <c r="C562" s="38">
        <v>951</v>
      </c>
      <c r="D562" s="38" t="s">
        <v>386</v>
      </c>
      <c r="E562" s="38" t="s">
        <v>579</v>
      </c>
      <c r="F562" s="38"/>
      <c r="G562" s="168">
        <f>G563</f>
        <v>313.5</v>
      </c>
      <c r="H562" s="168">
        <f aca="true" t="shared" si="262" ref="H562:I563">H563</f>
        <v>0</v>
      </c>
      <c r="I562" s="168">
        <f t="shared" si="262"/>
        <v>0</v>
      </c>
      <c r="K562" s="238"/>
    </row>
    <row r="563" spans="1:11" ht="46.8">
      <c r="A563" s="312">
        <v>520</v>
      </c>
      <c r="B563" s="256" t="s">
        <v>95</v>
      </c>
      <c r="C563" s="38">
        <v>951</v>
      </c>
      <c r="D563" s="38" t="s">
        <v>386</v>
      </c>
      <c r="E563" s="38" t="s">
        <v>579</v>
      </c>
      <c r="F563" s="38">
        <v>600</v>
      </c>
      <c r="G563" s="168">
        <f>G564</f>
        <v>313.5</v>
      </c>
      <c r="H563" s="168">
        <f t="shared" si="262"/>
        <v>0</v>
      </c>
      <c r="I563" s="168">
        <f t="shared" si="262"/>
        <v>0</v>
      </c>
      <c r="K563" s="238"/>
    </row>
    <row r="564" spans="1:11" ht="15">
      <c r="A564" s="312">
        <v>521</v>
      </c>
      <c r="B564" s="256" t="s">
        <v>140</v>
      </c>
      <c r="C564" s="38">
        <v>951</v>
      </c>
      <c r="D564" s="38" t="s">
        <v>386</v>
      </c>
      <c r="E564" s="38" t="s">
        <v>579</v>
      </c>
      <c r="F564" s="38">
        <v>610</v>
      </c>
      <c r="G564" s="168">
        <v>313.5</v>
      </c>
      <c r="H564" s="168">
        <v>0</v>
      </c>
      <c r="I564" s="168">
        <v>0</v>
      </c>
      <c r="K564" s="238"/>
    </row>
    <row r="565" spans="1:11" ht="31.2">
      <c r="A565" s="312">
        <v>522</v>
      </c>
      <c r="B565" s="77" t="s">
        <v>367</v>
      </c>
      <c r="C565" s="38">
        <v>951</v>
      </c>
      <c r="D565" s="38" t="s">
        <v>386</v>
      </c>
      <c r="E565" s="38" t="s">
        <v>368</v>
      </c>
      <c r="F565" s="38"/>
      <c r="G565" s="168">
        <f>G566</f>
        <v>105</v>
      </c>
      <c r="H565" s="168">
        <f aca="true" t="shared" si="263" ref="H565:I566">H566</f>
        <v>105</v>
      </c>
      <c r="I565" s="168">
        <f t="shared" si="263"/>
        <v>105</v>
      </c>
      <c r="K565" s="238"/>
    </row>
    <row r="566" spans="1:11" ht="46.8">
      <c r="A566" s="312">
        <v>523</v>
      </c>
      <c r="B566" s="256" t="s">
        <v>95</v>
      </c>
      <c r="C566" s="38">
        <v>951</v>
      </c>
      <c r="D566" s="38" t="s">
        <v>386</v>
      </c>
      <c r="E566" s="38" t="s">
        <v>368</v>
      </c>
      <c r="F566" s="38">
        <v>600</v>
      </c>
      <c r="G566" s="168">
        <f>G567</f>
        <v>105</v>
      </c>
      <c r="H566" s="168">
        <f t="shared" si="263"/>
        <v>105</v>
      </c>
      <c r="I566" s="168">
        <f t="shared" si="263"/>
        <v>105</v>
      </c>
      <c r="K566" s="238"/>
    </row>
    <row r="567" spans="1:11" ht="15">
      <c r="A567" s="312">
        <v>524</v>
      </c>
      <c r="B567" s="256" t="s">
        <v>140</v>
      </c>
      <c r="C567" s="38">
        <v>951</v>
      </c>
      <c r="D567" s="38" t="s">
        <v>386</v>
      </c>
      <c r="E567" s="38" t="s">
        <v>368</v>
      </c>
      <c r="F567" s="38">
        <v>610</v>
      </c>
      <c r="G567" s="168">
        <v>105</v>
      </c>
      <c r="H567" s="168">
        <v>105</v>
      </c>
      <c r="I567" s="168">
        <v>105</v>
      </c>
      <c r="K567" s="238"/>
    </row>
    <row r="568" spans="1:11" ht="31.2">
      <c r="A568" s="312">
        <v>525</v>
      </c>
      <c r="B568" s="79" t="s">
        <v>421</v>
      </c>
      <c r="C568" s="38">
        <v>951</v>
      </c>
      <c r="D568" s="38" t="s">
        <v>386</v>
      </c>
      <c r="E568" s="38" t="s">
        <v>422</v>
      </c>
      <c r="F568" s="38"/>
      <c r="G568" s="168">
        <f>G569</f>
        <v>200</v>
      </c>
      <c r="H568" s="168">
        <f aca="true" t="shared" si="264" ref="H568:I569">H569</f>
        <v>200</v>
      </c>
      <c r="I568" s="168">
        <f t="shared" si="264"/>
        <v>200</v>
      </c>
      <c r="K568" s="238"/>
    </row>
    <row r="569" spans="1:11" ht="46.8">
      <c r="A569" s="312">
        <v>526</v>
      </c>
      <c r="B569" s="256" t="s">
        <v>95</v>
      </c>
      <c r="C569" s="38">
        <v>951</v>
      </c>
      <c r="D569" s="38" t="s">
        <v>386</v>
      </c>
      <c r="E569" s="38" t="s">
        <v>422</v>
      </c>
      <c r="F569" s="38">
        <v>600</v>
      </c>
      <c r="G569" s="168">
        <f>G570</f>
        <v>200</v>
      </c>
      <c r="H569" s="168">
        <f t="shared" si="264"/>
        <v>200</v>
      </c>
      <c r="I569" s="168">
        <f t="shared" si="264"/>
        <v>200</v>
      </c>
      <c r="K569" s="238"/>
    </row>
    <row r="570" spans="1:11" ht="15">
      <c r="A570" s="312">
        <v>527</v>
      </c>
      <c r="B570" s="256" t="s">
        <v>140</v>
      </c>
      <c r="C570" s="38">
        <v>951</v>
      </c>
      <c r="D570" s="38" t="s">
        <v>386</v>
      </c>
      <c r="E570" s="38" t="s">
        <v>422</v>
      </c>
      <c r="F570" s="38">
        <v>610</v>
      </c>
      <c r="G570" s="168">
        <v>200</v>
      </c>
      <c r="H570" s="168">
        <v>200</v>
      </c>
      <c r="I570" s="168">
        <v>200</v>
      </c>
      <c r="K570" s="238"/>
    </row>
    <row r="571" spans="1:11" ht="15">
      <c r="A571" s="312">
        <v>528</v>
      </c>
      <c r="B571" s="79" t="s">
        <v>423</v>
      </c>
      <c r="C571" s="38">
        <v>951</v>
      </c>
      <c r="D571" s="38" t="s">
        <v>386</v>
      </c>
      <c r="E571" s="38" t="s">
        <v>424</v>
      </c>
      <c r="F571" s="38"/>
      <c r="G571" s="168">
        <f>G572</f>
        <v>862.62</v>
      </c>
      <c r="H571" s="168">
        <f aca="true" t="shared" si="265" ref="H571:I572">H572</f>
        <v>862.62</v>
      </c>
      <c r="I571" s="168">
        <f t="shared" si="265"/>
        <v>862.62</v>
      </c>
      <c r="K571" s="238"/>
    </row>
    <row r="572" spans="1:11" ht="46.8">
      <c r="A572" s="312">
        <v>529</v>
      </c>
      <c r="B572" s="256" t="s">
        <v>95</v>
      </c>
      <c r="C572" s="38">
        <v>951</v>
      </c>
      <c r="D572" s="38" t="s">
        <v>386</v>
      </c>
      <c r="E572" s="38" t="s">
        <v>424</v>
      </c>
      <c r="F572" s="38">
        <v>600</v>
      </c>
      <c r="G572" s="168">
        <f>G573</f>
        <v>862.62</v>
      </c>
      <c r="H572" s="168">
        <f t="shared" si="265"/>
        <v>862.62</v>
      </c>
      <c r="I572" s="168">
        <f t="shared" si="265"/>
        <v>862.62</v>
      </c>
      <c r="K572" s="238"/>
    </row>
    <row r="573" spans="1:11" ht="15">
      <c r="A573" s="312">
        <v>530</v>
      </c>
      <c r="B573" s="256" t="s">
        <v>140</v>
      </c>
      <c r="C573" s="38">
        <v>951</v>
      </c>
      <c r="D573" s="38" t="s">
        <v>386</v>
      </c>
      <c r="E573" s="38" t="s">
        <v>424</v>
      </c>
      <c r="F573" s="38">
        <v>610</v>
      </c>
      <c r="G573" s="168">
        <v>862.62</v>
      </c>
      <c r="H573" s="168">
        <v>862.62</v>
      </c>
      <c r="I573" s="168">
        <v>862.62</v>
      </c>
      <c r="K573" s="238"/>
    </row>
    <row r="574" spans="1:11" ht="15">
      <c r="A574" s="312">
        <v>531</v>
      </c>
      <c r="B574" s="256" t="s">
        <v>153</v>
      </c>
      <c r="C574" s="38">
        <v>951</v>
      </c>
      <c r="D574" s="38" t="s">
        <v>316</v>
      </c>
      <c r="E574" s="38"/>
      <c r="F574" s="38"/>
      <c r="G574" s="168">
        <f>G575</f>
        <v>840.6</v>
      </c>
      <c r="H574" s="168">
        <f>H575</f>
        <v>840.6</v>
      </c>
      <c r="I574" s="168">
        <f>I575</f>
        <v>840.6</v>
      </c>
      <c r="K574" s="238"/>
    </row>
    <row r="575" spans="1:11" ht="46.8">
      <c r="A575" s="312">
        <v>532</v>
      </c>
      <c r="B575" s="253" t="s">
        <v>108</v>
      </c>
      <c r="C575" s="38">
        <v>951</v>
      </c>
      <c r="D575" s="38" t="s">
        <v>316</v>
      </c>
      <c r="E575" s="38" t="s">
        <v>110</v>
      </c>
      <c r="F575" s="38"/>
      <c r="G575" s="168">
        <f aca="true" t="shared" si="266" ref="G575:G581">G576</f>
        <v>840.6</v>
      </c>
      <c r="H575" s="168">
        <f aca="true" t="shared" si="267" ref="H575:I580">H576</f>
        <v>840.6</v>
      </c>
      <c r="I575" s="168">
        <f t="shared" si="267"/>
        <v>840.6</v>
      </c>
      <c r="K575" s="238"/>
    </row>
    <row r="576" spans="1:11" ht="31.2">
      <c r="A576" s="312">
        <v>533</v>
      </c>
      <c r="B576" s="253" t="s">
        <v>109</v>
      </c>
      <c r="C576" s="38">
        <v>951</v>
      </c>
      <c r="D576" s="38" t="s">
        <v>316</v>
      </c>
      <c r="E576" s="38" t="s">
        <v>111</v>
      </c>
      <c r="F576" s="38"/>
      <c r="G576" s="168">
        <f>G577+G580</f>
        <v>840.6</v>
      </c>
      <c r="H576" s="168">
        <f aca="true" t="shared" si="268" ref="H576:I576">H577+H580</f>
        <v>840.6</v>
      </c>
      <c r="I576" s="168">
        <f t="shared" si="268"/>
        <v>840.6</v>
      </c>
      <c r="K576" s="238"/>
    </row>
    <row r="577" spans="1:11" ht="93.6">
      <c r="A577" s="312">
        <v>534</v>
      </c>
      <c r="B577" s="251" t="s">
        <v>463</v>
      </c>
      <c r="C577" s="38">
        <v>951</v>
      </c>
      <c r="D577" s="38" t="s">
        <v>316</v>
      </c>
      <c r="E577" s="38" t="s">
        <v>464</v>
      </c>
      <c r="F577" s="38"/>
      <c r="G577" s="168">
        <f>G578</f>
        <v>498.6</v>
      </c>
      <c r="H577" s="168">
        <f aca="true" t="shared" si="269" ref="H577:I578">H578</f>
        <v>498.6</v>
      </c>
      <c r="I577" s="168">
        <f t="shared" si="269"/>
        <v>498.6</v>
      </c>
      <c r="K577" s="238"/>
    </row>
    <row r="578" spans="1:11" ht="31.2">
      <c r="A578" s="312">
        <v>535</v>
      </c>
      <c r="B578" s="256" t="s">
        <v>32</v>
      </c>
      <c r="C578" s="38">
        <v>951</v>
      </c>
      <c r="D578" s="38" t="s">
        <v>316</v>
      </c>
      <c r="E578" s="38" t="s">
        <v>464</v>
      </c>
      <c r="F578" s="38">
        <v>200</v>
      </c>
      <c r="G578" s="168">
        <f>G579</f>
        <v>498.6</v>
      </c>
      <c r="H578" s="168">
        <f t="shared" si="269"/>
        <v>498.6</v>
      </c>
      <c r="I578" s="168">
        <f t="shared" si="269"/>
        <v>498.6</v>
      </c>
      <c r="K578" s="238"/>
    </row>
    <row r="579" spans="1:11" ht="46.8">
      <c r="A579" s="312">
        <v>536</v>
      </c>
      <c r="B579" s="256" t="s">
        <v>33</v>
      </c>
      <c r="C579" s="38">
        <v>951</v>
      </c>
      <c r="D579" s="38" t="s">
        <v>316</v>
      </c>
      <c r="E579" s="38" t="s">
        <v>464</v>
      </c>
      <c r="F579" s="38">
        <v>240</v>
      </c>
      <c r="G579" s="168">
        <v>498.6</v>
      </c>
      <c r="H579" s="168">
        <v>498.6</v>
      </c>
      <c r="I579" s="168">
        <v>498.6</v>
      </c>
      <c r="K579" s="238"/>
    </row>
    <row r="580" spans="1:11" ht="31.2">
      <c r="A580" s="312">
        <v>537</v>
      </c>
      <c r="B580" s="253" t="s">
        <v>315</v>
      </c>
      <c r="C580" s="38">
        <v>951</v>
      </c>
      <c r="D580" s="38" t="s">
        <v>316</v>
      </c>
      <c r="E580" s="38" t="s">
        <v>332</v>
      </c>
      <c r="F580" s="38"/>
      <c r="G580" s="168">
        <f t="shared" si="266"/>
        <v>342</v>
      </c>
      <c r="H580" s="168">
        <f t="shared" si="267"/>
        <v>342</v>
      </c>
      <c r="I580" s="168">
        <f t="shared" si="267"/>
        <v>342</v>
      </c>
      <c r="K580" s="238"/>
    </row>
    <row r="581" spans="1:11" ht="31.2">
      <c r="A581" s="312">
        <v>538</v>
      </c>
      <c r="B581" s="256" t="s">
        <v>32</v>
      </c>
      <c r="C581" s="38">
        <v>951</v>
      </c>
      <c r="D581" s="38" t="s">
        <v>316</v>
      </c>
      <c r="E581" s="38" t="s">
        <v>317</v>
      </c>
      <c r="F581" s="38">
        <v>200</v>
      </c>
      <c r="G581" s="168">
        <f t="shared" si="266"/>
        <v>342</v>
      </c>
      <c r="H581" s="168">
        <f aca="true" t="shared" si="270" ref="H581:I581">H582</f>
        <v>342</v>
      </c>
      <c r="I581" s="168">
        <f t="shared" si="270"/>
        <v>342</v>
      </c>
      <c r="K581" s="238"/>
    </row>
    <row r="582" spans="1:11" ht="46.8">
      <c r="A582" s="312">
        <v>539</v>
      </c>
      <c r="B582" s="256" t="s">
        <v>33</v>
      </c>
      <c r="C582" s="38">
        <v>951</v>
      </c>
      <c r="D582" s="38" t="s">
        <v>316</v>
      </c>
      <c r="E582" s="38" t="s">
        <v>332</v>
      </c>
      <c r="F582" s="38">
        <v>240</v>
      </c>
      <c r="G582" s="168">
        <v>342</v>
      </c>
      <c r="H582" s="168">
        <v>342</v>
      </c>
      <c r="I582" s="168">
        <v>342</v>
      </c>
      <c r="K582" s="238"/>
    </row>
    <row r="583" spans="1:11" ht="15">
      <c r="A583" s="312">
        <v>540</v>
      </c>
      <c r="B583" s="256" t="s">
        <v>107</v>
      </c>
      <c r="C583" s="38">
        <v>951</v>
      </c>
      <c r="D583" s="38" t="s">
        <v>406</v>
      </c>
      <c r="E583" s="38"/>
      <c r="F583" s="38"/>
      <c r="G583" s="168">
        <f>G584</f>
        <v>23688.62</v>
      </c>
      <c r="H583" s="168">
        <f aca="true" t="shared" si="271" ref="H583:I583">H584</f>
        <v>22756.059999999998</v>
      </c>
      <c r="I583" s="168">
        <f t="shared" si="271"/>
        <v>22756.059999999998</v>
      </c>
      <c r="K583" s="238"/>
    </row>
    <row r="584" spans="1:11" ht="46.8">
      <c r="A584" s="312">
        <v>541</v>
      </c>
      <c r="B584" s="253" t="s">
        <v>108</v>
      </c>
      <c r="C584" s="38">
        <v>951</v>
      </c>
      <c r="D584" s="38" t="s">
        <v>406</v>
      </c>
      <c r="E584" s="38" t="s">
        <v>110</v>
      </c>
      <c r="F584" s="38"/>
      <c r="G584" s="168">
        <f>G585</f>
        <v>23688.62</v>
      </c>
      <c r="H584" s="168">
        <f aca="true" t="shared" si="272" ref="H584:I584">H585</f>
        <v>22756.059999999998</v>
      </c>
      <c r="I584" s="168">
        <f t="shared" si="272"/>
        <v>22756.059999999998</v>
      </c>
      <c r="K584" s="238"/>
    </row>
    <row r="585" spans="1:11" ht="31.2">
      <c r="A585" s="312">
        <v>542</v>
      </c>
      <c r="B585" s="253" t="s">
        <v>109</v>
      </c>
      <c r="C585" s="38">
        <v>951</v>
      </c>
      <c r="D585" s="38" t="s">
        <v>406</v>
      </c>
      <c r="E585" s="38" t="s">
        <v>111</v>
      </c>
      <c r="F585" s="38"/>
      <c r="G585" s="168">
        <f>G586+G600+G605+G594+G597</f>
        <v>23688.62</v>
      </c>
      <c r="H585" s="168">
        <f aca="true" t="shared" si="273" ref="H585:I585">H586+H600+H605+H594+H597</f>
        <v>22756.059999999998</v>
      </c>
      <c r="I585" s="168">
        <f t="shared" si="273"/>
        <v>22756.059999999998</v>
      </c>
      <c r="K585" s="238"/>
    </row>
    <row r="586" spans="1:11" ht="31.2">
      <c r="A586" s="312">
        <v>543</v>
      </c>
      <c r="B586" s="253" t="s">
        <v>308</v>
      </c>
      <c r="C586" s="38">
        <v>951</v>
      </c>
      <c r="D586" s="38" t="s">
        <v>406</v>
      </c>
      <c r="E586" s="38" t="s">
        <v>309</v>
      </c>
      <c r="F586" s="38"/>
      <c r="G586" s="168">
        <f>G587+G589+G591</f>
        <v>21518.69</v>
      </c>
      <c r="H586" s="168">
        <f aca="true" t="shared" si="274" ref="H586:I586">H587+H589+H591</f>
        <v>14371.74</v>
      </c>
      <c r="I586" s="168">
        <f t="shared" si="274"/>
        <v>14371.74</v>
      </c>
      <c r="K586" s="238"/>
    </row>
    <row r="587" spans="1:11" ht="78">
      <c r="A587" s="312">
        <v>544</v>
      </c>
      <c r="B587" s="256" t="s">
        <v>25</v>
      </c>
      <c r="C587" s="38">
        <v>951</v>
      </c>
      <c r="D587" s="38" t="s">
        <v>406</v>
      </c>
      <c r="E587" s="38" t="s">
        <v>309</v>
      </c>
      <c r="F587" s="38">
        <v>100</v>
      </c>
      <c r="G587" s="168">
        <f>G588</f>
        <v>14819.509999999998</v>
      </c>
      <c r="H587" s="168">
        <f aca="true" t="shared" si="275" ref="H587:I587">H588</f>
        <v>12116.56</v>
      </c>
      <c r="I587" s="168">
        <f t="shared" si="275"/>
        <v>12116.56</v>
      </c>
      <c r="K587" s="238"/>
    </row>
    <row r="588" spans="1:12" ht="31.2">
      <c r="A588" s="312">
        <v>545</v>
      </c>
      <c r="B588" s="276" t="s">
        <v>130</v>
      </c>
      <c r="C588" s="38">
        <v>951</v>
      </c>
      <c r="D588" s="38" t="s">
        <v>406</v>
      </c>
      <c r="E588" s="38" t="s">
        <v>309</v>
      </c>
      <c r="F588" s="38">
        <v>110</v>
      </c>
      <c r="G588" s="168">
        <f>18805.77-5229.82-562.62-896.77-836.37+90.97+4374.71+1320.94-0.5-400-1822.8-24</f>
        <v>14819.509999999998</v>
      </c>
      <c r="H588" s="168">
        <v>12116.56</v>
      </c>
      <c r="I588" s="168">
        <v>12116.56</v>
      </c>
      <c r="J588" s="162">
        <v>-24</v>
      </c>
      <c r="K588" s="238"/>
      <c r="L588" s="272">
        <v>-1822.8</v>
      </c>
    </row>
    <row r="589" spans="1:11" ht="31.2">
      <c r="A589" s="312">
        <v>546</v>
      </c>
      <c r="B589" s="256" t="s">
        <v>32</v>
      </c>
      <c r="C589" s="38">
        <v>951</v>
      </c>
      <c r="D589" s="38" t="s">
        <v>406</v>
      </c>
      <c r="E589" s="38" t="s">
        <v>309</v>
      </c>
      <c r="F589" s="38">
        <v>200</v>
      </c>
      <c r="G589" s="168">
        <f>G590</f>
        <v>6659.41</v>
      </c>
      <c r="H589" s="168">
        <f aca="true" t="shared" si="276" ref="H589:I589">H590</f>
        <v>2245.18</v>
      </c>
      <c r="I589" s="168">
        <f t="shared" si="276"/>
        <v>2245.18</v>
      </c>
      <c r="K589" s="238"/>
    </row>
    <row r="590" spans="1:11" ht="46.8">
      <c r="A590" s="312">
        <v>547</v>
      </c>
      <c r="B590" s="256" t="s">
        <v>33</v>
      </c>
      <c r="C590" s="38">
        <v>951</v>
      </c>
      <c r="D590" s="38" t="s">
        <v>406</v>
      </c>
      <c r="E590" s="38" t="s">
        <v>309</v>
      </c>
      <c r="F590" s="38">
        <v>240</v>
      </c>
      <c r="G590" s="168">
        <f>3179.18-924-10+836.37+3163.63-2.57-0.43-2.77+420-10+10</f>
        <v>6659.41</v>
      </c>
      <c r="H590" s="168">
        <f aca="true" t="shared" si="277" ref="H590:I590">3179.18-924-10</f>
        <v>2245.18</v>
      </c>
      <c r="I590" s="168">
        <f t="shared" si="277"/>
        <v>2245.18</v>
      </c>
      <c r="J590" s="162">
        <f>-10+10</f>
        <v>0</v>
      </c>
      <c r="K590" s="238"/>
    </row>
    <row r="591" spans="1:11" ht="15">
      <c r="A591" s="312">
        <v>548</v>
      </c>
      <c r="B591" s="256" t="s">
        <v>67</v>
      </c>
      <c r="C591" s="38">
        <v>951</v>
      </c>
      <c r="D591" s="38" t="s">
        <v>406</v>
      </c>
      <c r="E591" s="38" t="s">
        <v>309</v>
      </c>
      <c r="F591" s="38">
        <v>800</v>
      </c>
      <c r="G591" s="168">
        <f>G593+G592</f>
        <v>39.769999999999996</v>
      </c>
      <c r="H591" s="168">
        <f aca="true" t="shared" si="278" ref="H591:I591">H593</f>
        <v>10</v>
      </c>
      <c r="I591" s="168">
        <f t="shared" si="278"/>
        <v>10</v>
      </c>
      <c r="K591" s="238"/>
    </row>
    <row r="592" spans="1:11" ht="15">
      <c r="A592" s="312">
        <v>549</v>
      </c>
      <c r="B592" s="40" t="s">
        <v>73</v>
      </c>
      <c r="C592" s="38">
        <v>951</v>
      </c>
      <c r="D592" s="38" t="s">
        <v>406</v>
      </c>
      <c r="E592" s="38" t="s">
        <v>309</v>
      </c>
      <c r="F592" s="38">
        <v>830</v>
      </c>
      <c r="G592" s="168">
        <v>1</v>
      </c>
      <c r="H592" s="168">
        <v>0</v>
      </c>
      <c r="I592" s="168">
        <v>0</v>
      </c>
      <c r="K592" s="238"/>
    </row>
    <row r="593" spans="1:11" ht="15">
      <c r="A593" s="312">
        <v>550</v>
      </c>
      <c r="B593" s="256" t="s">
        <v>221</v>
      </c>
      <c r="C593" s="38">
        <v>951</v>
      </c>
      <c r="D593" s="38" t="s">
        <v>406</v>
      </c>
      <c r="E593" s="38" t="s">
        <v>309</v>
      </c>
      <c r="F593" s="38">
        <v>850</v>
      </c>
      <c r="G593" s="168">
        <f>10+2.57+0.43+1.77+10+14</f>
        <v>38.769999999999996</v>
      </c>
      <c r="H593" s="168">
        <v>10</v>
      </c>
      <c r="I593" s="168">
        <v>10</v>
      </c>
      <c r="J593" s="162">
        <f>10+14</f>
        <v>24</v>
      </c>
      <c r="K593" s="238"/>
    </row>
    <row r="594" spans="1:11" ht="31.2">
      <c r="A594" s="312">
        <v>551</v>
      </c>
      <c r="B594" s="256" t="s">
        <v>471</v>
      </c>
      <c r="C594" s="38">
        <v>951</v>
      </c>
      <c r="D594" s="38" t="s">
        <v>406</v>
      </c>
      <c r="E594" s="38" t="s">
        <v>472</v>
      </c>
      <c r="F594" s="38"/>
      <c r="G594" s="168">
        <f>G595</f>
        <v>83.42999999999984</v>
      </c>
      <c r="H594" s="168">
        <f aca="true" t="shared" si="279" ref="H594:I595">H595</f>
        <v>3655.23</v>
      </c>
      <c r="I594" s="168">
        <f t="shared" si="279"/>
        <v>3655.23</v>
      </c>
      <c r="K594" s="238"/>
    </row>
    <row r="595" spans="1:11" ht="46.8">
      <c r="A595" s="312">
        <v>552</v>
      </c>
      <c r="B595" s="256" t="s">
        <v>95</v>
      </c>
      <c r="C595" s="38">
        <v>951</v>
      </c>
      <c r="D595" s="38" t="s">
        <v>406</v>
      </c>
      <c r="E595" s="38" t="s">
        <v>472</v>
      </c>
      <c r="F595" s="38">
        <v>600</v>
      </c>
      <c r="G595" s="168">
        <f>G596</f>
        <v>83.42999999999984</v>
      </c>
      <c r="H595" s="168">
        <f t="shared" si="279"/>
        <v>3655.23</v>
      </c>
      <c r="I595" s="168">
        <f t="shared" si="279"/>
        <v>3655.23</v>
      </c>
      <c r="K595" s="238"/>
    </row>
    <row r="596" spans="1:11" ht="15">
      <c r="A596" s="312">
        <v>553</v>
      </c>
      <c r="B596" s="256" t="s">
        <v>140</v>
      </c>
      <c r="C596" s="38">
        <v>951</v>
      </c>
      <c r="D596" s="38" t="s">
        <v>406</v>
      </c>
      <c r="E596" s="38" t="s">
        <v>472</v>
      </c>
      <c r="F596" s="38">
        <v>610</v>
      </c>
      <c r="G596" s="168">
        <f>3655.23-3596.3+0.5+24</f>
        <v>83.42999999999984</v>
      </c>
      <c r="H596" s="168">
        <v>3655.23</v>
      </c>
      <c r="I596" s="168">
        <v>3655.23</v>
      </c>
      <c r="J596" s="162">
        <v>24</v>
      </c>
      <c r="K596" s="238"/>
    </row>
    <row r="597" spans="1:11" ht="31.2">
      <c r="A597" s="312">
        <v>554</v>
      </c>
      <c r="B597" s="256" t="s">
        <v>473</v>
      </c>
      <c r="C597" s="38">
        <v>951</v>
      </c>
      <c r="D597" s="38" t="s">
        <v>406</v>
      </c>
      <c r="E597" s="38" t="s">
        <v>474</v>
      </c>
      <c r="F597" s="38"/>
      <c r="G597" s="168">
        <f>G598</f>
        <v>0</v>
      </c>
      <c r="H597" s="168">
        <f aca="true" t="shared" si="280" ref="H597:I598">H598</f>
        <v>2498.59</v>
      </c>
      <c r="I597" s="168">
        <f t="shared" si="280"/>
        <v>2498.59</v>
      </c>
      <c r="K597" s="238"/>
    </row>
    <row r="598" spans="1:11" ht="46.8">
      <c r="A598" s="312">
        <v>555</v>
      </c>
      <c r="B598" s="256" t="s">
        <v>95</v>
      </c>
      <c r="C598" s="38">
        <v>951</v>
      </c>
      <c r="D598" s="38" t="s">
        <v>406</v>
      </c>
      <c r="E598" s="38" t="s">
        <v>474</v>
      </c>
      <c r="F598" s="38">
        <v>600</v>
      </c>
      <c r="G598" s="168">
        <f>G599</f>
        <v>0</v>
      </c>
      <c r="H598" s="168">
        <f t="shared" si="280"/>
        <v>2498.59</v>
      </c>
      <c r="I598" s="168">
        <f t="shared" si="280"/>
        <v>2498.59</v>
      </c>
      <c r="K598" s="238"/>
    </row>
    <row r="599" spans="1:11" ht="15">
      <c r="A599" s="312">
        <v>556</v>
      </c>
      <c r="B599" s="256" t="s">
        <v>140</v>
      </c>
      <c r="C599" s="38">
        <v>951</v>
      </c>
      <c r="D599" s="38" t="s">
        <v>406</v>
      </c>
      <c r="E599" s="38" t="s">
        <v>474</v>
      </c>
      <c r="F599" s="38">
        <v>610</v>
      </c>
      <c r="G599" s="168">
        <f>2498.59-2498.59</f>
        <v>0</v>
      </c>
      <c r="H599" s="168">
        <v>2498.59</v>
      </c>
      <c r="I599" s="168">
        <v>2498.59</v>
      </c>
      <c r="K599" s="238"/>
    </row>
    <row r="600" spans="1:11" ht="124.8">
      <c r="A600" s="312">
        <v>557</v>
      </c>
      <c r="B600" s="267" t="s">
        <v>310</v>
      </c>
      <c r="C600" s="38">
        <v>951</v>
      </c>
      <c r="D600" s="38" t="s">
        <v>406</v>
      </c>
      <c r="E600" s="38" t="s">
        <v>311</v>
      </c>
      <c r="F600" s="38"/>
      <c r="G600" s="168">
        <f>G601+G603</f>
        <v>1880.5</v>
      </c>
      <c r="H600" s="168">
        <f>H601+H603</f>
        <v>1880.5</v>
      </c>
      <c r="I600" s="168">
        <f>I601+I603</f>
        <v>1880.5</v>
      </c>
      <c r="K600" s="238"/>
    </row>
    <row r="601" spans="1:11" ht="31.2">
      <c r="A601" s="312">
        <v>558</v>
      </c>
      <c r="B601" s="256" t="s">
        <v>205</v>
      </c>
      <c r="C601" s="38">
        <v>951</v>
      </c>
      <c r="D601" s="38" t="s">
        <v>406</v>
      </c>
      <c r="E601" s="38" t="s">
        <v>311</v>
      </c>
      <c r="F601" s="38">
        <v>300</v>
      </c>
      <c r="G601" s="168">
        <f>G602</f>
        <v>1861.69</v>
      </c>
      <c r="H601" s="168">
        <f aca="true" t="shared" si="281" ref="H601:I601">H602</f>
        <v>1861.69</v>
      </c>
      <c r="I601" s="168">
        <f t="shared" si="281"/>
        <v>1861.69</v>
      </c>
      <c r="K601" s="238"/>
    </row>
    <row r="602" spans="1:11" ht="31.2">
      <c r="A602" s="312">
        <v>559</v>
      </c>
      <c r="B602" s="256" t="s">
        <v>228</v>
      </c>
      <c r="C602" s="38">
        <v>951</v>
      </c>
      <c r="D602" s="38" t="s">
        <v>406</v>
      </c>
      <c r="E602" s="38" t="s">
        <v>311</v>
      </c>
      <c r="F602" s="38">
        <v>320</v>
      </c>
      <c r="G602" s="168">
        <f>1880.5-18.81</f>
        <v>1861.69</v>
      </c>
      <c r="H602" s="168">
        <f aca="true" t="shared" si="282" ref="H602:I602">1880.5-18.81</f>
        <v>1861.69</v>
      </c>
      <c r="I602" s="168">
        <f t="shared" si="282"/>
        <v>1861.69</v>
      </c>
      <c r="K602" s="238"/>
    </row>
    <row r="603" spans="1:11" ht="31.2">
      <c r="A603" s="312">
        <v>560</v>
      </c>
      <c r="B603" s="256" t="s">
        <v>32</v>
      </c>
      <c r="C603" s="38">
        <v>951</v>
      </c>
      <c r="D603" s="38" t="s">
        <v>406</v>
      </c>
      <c r="E603" s="38" t="s">
        <v>311</v>
      </c>
      <c r="F603" s="38">
        <v>200</v>
      </c>
      <c r="G603" s="168">
        <f>G604</f>
        <v>18.81</v>
      </c>
      <c r="H603" s="168">
        <f aca="true" t="shared" si="283" ref="H603:I603">H604</f>
        <v>18.81</v>
      </c>
      <c r="I603" s="168">
        <f t="shared" si="283"/>
        <v>18.81</v>
      </c>
      <c r="K603" s="238"/>
    </row>
    <row r="604" spans="1:11" ht="46.8">
      <c r="A604" s="312">
        <v>561</v>
      </c>
      <c r="B604" s="256" t="s">
        <v>33</v>
      </c>
      <c r="C604" s="38">
        <v>951</v>
      </c>
      <c r="D604" s="38" t="s">
        <v>406</v>
      </c>
      <c r="E604" s="38" t="s">
        <v>311</v>
      </c>
      <c r="F604" s="38">
        <v>240</v>
      </c>
      <c r="G604" s="168">
        <v>18.81</v>
      </c>
      <c r="H604" s="168">
        <v>18.81</v>
      </c>
      <c r="I604" s="168">
        <v>18.81</v>
      </c>
      <c r="K604" s="238"/>
    </row>
    <row r="605" spans="1:11" ht="31.2">
      <c r="A605" s="312">
        <v>562</v>
      </c>
      <c r="B605" s="79" t="s">
        <v>371</v>
      </c>
      <c r="C605" s="38">
        <v>951</v>
      </c>
      <c r="D605" s="38" t="s">
        <v>406</v>
      </c>
      <c r="E605" s="38" t="s">
        <v>372</v>
      </c>
      <c r="F605" s="38"/>
      <c r="G605" s="168">
        <f>G606</f>
        <v>206</v>
      </c>
      <c r="H605" s="168">
        <f aca="true" t="shared" si="284" ref="H605:I606">H606</f>
        <v>350</v>
      </c>
      <c r="I605" s="168">
        <f t="shared" si="284"/>
        <v>350</v>
      </c>
      <c r="K605" s="238"/>
    </row>
    <row r="606" spans="1:11" ht="31.2">
      <c r="A606" s="312">
        <v>563</v>
      </c>
      <c r="B606" s="256" t="s">
        <v>32</v>
      </c>
      <c r="C606" s="38">
        <v>951</v>
      </c>
      <c r="D606" s="38" t="s">
        <v>406</v>
      </c>
      <c r="E606" s="38" t="s">
        <v>372</v>
      </c>
      <c r="F606" s="38">
        <v>200</v>
      </c>
      <c r="G606" s="168">
        <f>G607</f>
        <v>206</v>
      </c>
      <c r="H606" s="168">
        <f t="shared" si="284"/>
        <v>350</v>
      </c>
      <c r="I606" s="168">
        <f t="shared" si="284"/>
        <v>350</v>
      </c>
      <c r="K606" s="238"/>
    </row>
    <row r="607" spans="1:11" ht="46.8">
      <c r="A607" s="312">
        <v>564</v>
      </c>
      <c r="B607" s="256" t="s">
        <v>33</v>
      </c>
      <c r="C607" s="38">
        <v>951</v>
      </c>
      <c r="D607" s="38" t="s">
        <v>406</v>
      </c>
      <c r="E607" s="38" t="s">
        <v>372</v>
      </c>
      <c r="F607" s="38">
        <v>240</v>
      </c>
      <c r="G607" s="168">
        <f>350-120-24</f>
        <v>206</v>
      </c>
      <c r="H607" s="168">
        <v>350</v>
      </c>
      <c r="I607" s="168">
        <v>350</v>
      </c>
      <c r="J607" s="162">
        <v>-24</v>
      </c>
      <c r="K607" s="238"/>
    </row>
    <row r="608" spans="1:11" ht="15">
      <c r="A608" s="312">
        <v>565</v>
      </c>
      <c r="B608" s="253" t="s">
        <v>117</v>
      </c>
      <c r="C608" s="39" t="s">
        <v>312</v>
      </c>
      <c r="D608" s="39" t="s">
        <v>118</v>
      </c>
      <c r="E608" s="39"/>
      <c r="F608" s="38"/>
      <c r="G608" s="168">
        <f aca="true" t="shared" si="285" ref="G608:G613">G609</f>
        <v>7070.299999999999</v>
      </c>
      <c r="H608" s="168">
        <f aca="true" t="shared" si="286" ref="H608:I611">H609</f>
        <v>10444.4</v>
      </c>
      <c r="I608" s="168">
        <f t="shared" si="286"/>
        <v>10444.4</v>
      </c>
      <c r="K608" s="238"/>
    </row>
    <row r="609" spans="1:11" ht="15">
      <c r="A609" s="312">
        <v>566</v>
      </c>
      <c r="B609" s="253" t="s">
        <v>213</v>
      </c>
      <c r="C609" s="39" t="s">
        <v>312</v>
      </c>
      <c r="D609" s="39" t="s">
        <v>214</v>
      </c>
      <c r="E609" s="39"/>
      <c r="F609" s="38"/>
      <c r="G609" s="168">
        <f t="shared" si="285"/>
        <v>7070.299999999999</v>
      </c>
      <c r="H609" s="168">
        <f t="shared" si="286"/>
        <v>10444.4</v>
      </c>
      <c r="I609" s="168">
        <f t="shared" si="286"/>
        <v>10444.4</v>
      </c>
      <c r="K609" s="238"/>
    </row>
    <row r="610" spans="1:11" ht="46.8">
      <c r="A610" s="312">
        <v>567</v>
      </c>
      <c r="B610" s="253" t="s">
        <v>108</v>
      </c>
      <c r="C610" s="39" t="s">
        <v>312</v>
      </c>
      <c r="D610" s="39" t="s">
        <v>214</v>
      </c>
      <c r="E610" s="39" t="s">
        <v>110</v>
      </c>
      <c r="F610" s="38"/>
      <c r="G610" s="168">
        <f t="shared" si="285"/>
        <v>7070.299999999999</v>
      </c>
      <c r="H610" s="168">
        <f t="shared" si="286"/>
        <v>10444.4</v>
      </c>
      <c r="I610" s="168">
        <f t="shared" si="286"/>
        <v>10444.4</v>
      </c>
      <c r="K610" s="238"/>
    </row>
    <row r="611" spans="1:11" ht="15">
      <c r="A611" s="312">
        <v>568</v>
      </c>
      <c r="B611" s="253" t="s">
        <v>263</v>
      </c>
      <c r="C611" s="39">
        <v>951</v>
      </c>
      <c r="D611" s="39" t="s">
        <v>214</v>
      </c>
      <c r="E611" s="39" t="s">
        <v>264</v>
      </c>
      <c r="F611" s="38"/>
      <c r="G611" s="168">
        <f t="shared" si="285"/>
        <v>7070.299999999999</v>
      </c>
      <c r="H611" s="168">
        <f t="shared" si="286"/>
        <v>10444.4</v>
      </c>
      <c r="I611" s="168">
        <f t="shared" si="286"/>
        <v>10444.4</v>
      </c>
      <c r="K611" s="238"/>
    </row>
    <row r="612" spans="1:11" ht="124.8">
      <c r="A612" s="312">
        <v>569</v>
      </c>
      <c r="B612" s="275" t="s">
        <v>313</v>
      </c>
      <c r="C612" s="39">
        <v>951</v>
      </c>
      <c r="D612" s="39" t="s">
        <v>214</v>
      </c>
      <c r="E612" s="39" t="s">
        <v>314</v>
      </c>
      <c r="F612" s="38"/>
      <c r="G612" s="168">
        <f t="shared" si="285"/>
        <v>7070.299999999999</v>
      </c>
      <c r="H612" s="168">
        <f aca="true" t="shared" si="287" ref="H612:I612">H613</f>
        <v>10444.4</v>
      </c>
      <c r="I612" s="168">
        <f t="shared" si="287"/>
        <v>10444.4</v>
      </c>
      <c r="K612" s="238"/>
    </row>
    <row r="613" spans="1:11" ht="46.8">
      <c r="A613" s="312">
        <v>570</v>
      </c>
      <c r="B613" s="256" t="s">
        <v>95</v>
      </c>
      <c r="C613" s="39">
        <v>951</v>
      </c>
      <c r="D613" s="39" t="s">
        <v>214</v>
      </c>
      <c r="E613" s="39" t="s">
        <v>314</v>
      </c>
      <c r="F613" s="38">
        <v>600</v>
      </c>
      <c r="G613" s="168">
        <f t="shared" si="285"/>
        <v>7070.299999999999</v>
      </c>
      <c r="H613" s="168">
        <f aca="true" t="shared" si="288" ref="H613:I613">H614</f>
        <v>10444.4</v>
      </c>
      <c r="I613" s="168">
        <f t="shared" si="288"/>
        <v>10444.4</v>
      </c>
      <c r="K613" s="238"/>
    </row>
    <row r="614" spans="1:11" ht="15">
      <c r="A614" s="312">
        <v>571</v>
      </c>
      <c r="B614" s="256" t="s">
        <v>140</v>
      </c>
      <c r="C614" s="39">
        <v>951</v>
      </c>
      <c r="D614" s="39" t="s">
        <v>214</v>
      </c>
      <c r="E614" s="39" t="s">
        <v>314</v>
      </c>
      <c r="F614" s="38">
        <v>610</v>
      </c>
      <c r="G614" s="168">
        <f>9270.3-2200</f>
        <v>7070.299999999999</v>
      </c>
      <c r="H614" s="168">
        <v>10444.4</v>
      </c>
      <c r="I614" s="168">
        <v>10444.4</v>
      </c>
      <c r="K614" s="281">
        <v>-2200</v>
      </c>
    </row>
    <row r="615" spans="1:9" ht="31.2">
      <c r="A615" s="312">
        <v>572</v>
      </c>
      <c r="B615" s="260" t="s">
        <v>134</v>
      </c>
      <c r="C615" s="261">
        <v>952</v>
      </c>
      <c r="D615" s="261" t="s">
        <v>405</v>
      </c>
      <c r="E615" s="261"/>
      <c r="F615" s="261"/>
      <c r="G615" s="262">
        <f>G616+G670+G741</f>
        <v>105491.24999999999</v>
      </c>
      <c r="H615" s="262">
        <f>H616+H670+H741</f>
        <v>87877.13</v>
      </c>
      <c r="I615" s="262">
        <f>I616+I670+I741</f>
        <v>87877.13</v>
      </c>
    </row>
    <row r="616" spans="1:9" ht="15">
      <c r="A616" s="312">
        <v>573</v>
      </c>
      <c r="B616" s="253" t="s">
        <v>106</v>
      </c>
      <c r="C616" s="38">
        <v>952</v>
      </c>
      <c r="D616" s="38" t="s">
        <v>386</v>
      </c>
      <c r="E616" s="38"/>
      <c r="F616" s="38"/>
      <c r="G616" s="168">
        <f>G617+G636</f>
        <v>30585.51</v>
      </c>
      <c r="H616" s="168">
        <f>H617+H636</f>
        <v>29500.260000000002</v>
      </c>
      <c r="I616" s="168">
        <f>I617+I636</f>
        <v>29500.260000000002</v>
      </c>
    </row>
    <row r="617" spans="1:9" ht="15">
      <c r="A617" s="312">
        <v>574</v>
      </c>
      <c r="B617" s="253" t="s">
        <v>135</v>
      </c>
      <c r="C617" s="38">
        <v>952</v>
      </c>
      <c r="D617" s="38" t="s">
        <v>386</v>
      </c>
      <c r="E617" s="38"/>
      <c r="F617" s="38"/>
      <c r="G617" s="168">
        <f aca="true" t="shared" si="289" ref="G617:G631">G618</f>
        <v>25450.079999999998</v>
      </c>
      <c r="H617" s="168">
        <f aca="true" t="shared" si="290" ref="H617:I630">H618</f>
        <v>24563.89</v>
      </c>
      <c r="I617" s="168">
        <f t="shared" si="290"/>
        <v>24563.89</v>
      </c>
    </row>
    <row r="618" spans="1:9" ht="31.2">
      <c r="A618" s="312">
        <v>575</v>
      </c>
      <c r="B618" s="253" t="s">
        <v>354</v>
      </c>
      <c r="C618" s="38">
        <v>952</v>
      </c>
      <c r="D618" s="38" t="s">
        <v>386</v>
      </c>
      <c r="E618" s="38" t="s">
        <v>126</v>
      </c>
      <c r="F618" s="38"/>
      <c r="G618" s="168">
        <f>G629+G619+G633</f>
        <v>25450.079999999998</v>
      </c>
      <c r="H618" s="168">
        <f>H629+H619</f>
        <v>24563.89</v>
      </c>
      <c r="I618" s="168">
        <f>I629+I619</f>
        <v>24563.89</v>
      </c>
    </row>
    <row r="619" spans="1:9" ht="15">
      <c r="A619" s="312">
        <v>576</v>
      </c>
      <c r="B619" s="116" t="s">
        <v>148</v>
      </c>
      <c r="C619" s="38">
        <v>952</v>
      </c>
      <c r="D619" s="38" t="s">
        <v>386</v>
      </c>
      <c r="E619" s="38" t="s">
        <v>149</v>
      </c>
      <c r="F619" s="38"/>
      <c r="G619" s="168">
        <f>G620+G626+G623</f>
        <v>121</v>
      </c>
      <c r="H619" s="168">
        <f aca="true" t="shared" si="291" ref="H619:I619">H620+H626+H623</f>
        <v>0</v>
      </c>
      <c r="I619" s="168">
        <f t="shared" si="291"/>
        <v>0</v>
      </c>
    </row>
    <row r="620" spans="1:9" ht="31.2">
      <c r="A620" s="312">
        <v>577</v>
      </c>
      <c r="B620" s="253" t="s">
        <v>477</v>
      </c>
      <c r="C620" s="38">
        <v>952</v>
      </c>
      <c r="D620" s="38" t="s">
        <v>386</v>
      </c>
      <c r="E620" s="38" t="s">
        <v>478</v>
      </c>
      <c r="F620" s="38"/>
      <c r="G620" s="168">
        <f>G621</f>
        <v>0</v>
      </c>
      <c r="H620" s="168">
        <f aca="true" t="shared" si="292" ref="H620:I621">H621</f>
        <v>0</v>
      </c>
      <c r="I620" s="168">
        <f t="shared" si="292"/>
        <v>0</v>
      </c>
    </row>
    <row r="621" spans="1:9" ht="46.8">
      <c r="A621" s="312">
        <v>578</v>
      </c>
      <c r="B621" s="256" t="s">
        <v>95</v>
      </c>
      <c r="C621" s="38">
        <v>952</v>
      </c>
      <c r="D621" s="38" t="s">
        <v>386</v>
      </c>
      <c r="E621" s="38" t="s">
        <v>478</v>
      </c>
      <c r="F621" s="38">
        <v>600</v>
      </c>
      <c r="G621" s="168">
        <f>G622</f>
        <v>0</v>
      </c>
      <c r="H621" s="168">
        <f t="shared" si="292"/>
        <v>0</v>
      </c>
      <c r="I621" s="168">
        <f t="shared" si="292"/>
        <v>0</v>
      </c>
    </row>
    <row r="622" spans="1:9" ht="15">
      <c r="A622" s="312">
        <v>579</v>
      </c>
      <c r="B622" s="256" t="s">
        <v>140</v>
      </c>
      <c r="C622" s="38">
        <v>952</v>
      </c>
      <c r="D622" s="38" t="s">
        <v>386</v>
      </c>
      <c r="E622" s="38" t="s">
        <v>478</v>
      </c>
      <c r="F622" s="38">
        <v>610</v>
      </c>
      <c r="G622" s="168">
        <f>8.08-8.08</f>
        <v>0</v>
      </c>
      <c r="H622" s="168">
        <v>0</v>
      </c>
      <c r="I622" s="168">
        <v>0</v>
      </c>
    </row>
    <row r="623" spans="1:9" ht="78">
      <c r="A623" s="312">
        <v>580</v>
      </c>
      <c r="B623" s="298" t="s">
        <v>544</v>
      </c>
      <c r="C623" s="38">
        <v>952</v>
      </c>
      <c r="D623" s="38" t="s">
        <v>386</v>
      </c>
      <c r="E623" s="38" t="s">
        <v>604</v>
      </c>
      <c r="F623" s="38"/>
      <c r="G623" s="168">
        <f>G624</f>
        <v>119.79</v>
      </c>
      <c r="H623" s="168">
        <f aca="true" t="shared" si="293" ref="H623:I623">H624</f>
        <v>0</v>
      </c>
      <c r="I623" s="168">
        <f t="shared" si="293"/>
        <v>0</v>
      </c>
    </row>
    <row r="624" spans="1:9" ht="46.8">
      <c r="A624" s="312">
        <v>581</v>
      </c>
      <c r="B624" s="299" t="s">
        <v>95</v>
      </c>
      <c r="C624" s="38">
        <v>952</v>
      </c>
      <c r="D624" s="38" t="s">
        <v>386</v>
      </c>
      <c r="E624" s="38" t="s">
        <v>604</v>
      </c>
      <c r="F624" s="38">
        <v>600</v>
      </c>
      <c r="G624" s="168">
        <f>G625</f>
        <v>119.79</v>
      </c>
      <c r="H624" s="168">
        <f aca="true" t="shared" si="294" ref="H624:I624">H625</f>
        <v>0</v>
      </c>
      <c r="I624" s="168">
        <f t="shared" si="294"/>
        <v>0</v>
      </c>
    </row>
    <row r="625" spans="1:11" ht="15">
      <c r="A625" s="312">
        <v>582</v>
      </c>
      <c r="B625" s="299" t="s">
        <v>140</v>
      </c>
      <c r="C625" s="38">
        <v>952</v>
      </c>
      <c r="D625" s="38" t="s">
        <v>386</v>
      </c>
      <c r="E625" s="38" t="s">
        <v>604</v>
      </c>
      <c r="F625" s="38">
        <v>610</v>
      </c>
      <c r="G625" s="168">
        <v>119.79</v>
      </c>
      <c r="H625" s="168">
        <v>0</v>
      </c>
      <c r="I625" s="168">
        <v>0</v>
      </c>
      <c r="K625" s="237">
        <v>119.79</v>
      </c>
    </row>
    <row r="626" spans="1:9" ht="46.8">
      <c r="A626" s="312">
        <v>583</v>
      </c>
      <c r="B626" s="253" t="s">
        <v>591</v>
      </c>
      <c r="C626" s="38">
        <v>952</v>
      </c>
      <c r="D626" s="38" t="s">
        <v>386</v>
      </c>
      <c r="E626" s="38" t="s">
        <v>590</v>
      </c>
      <c r="F626" s="38"/>
      <c r="G626" s="168">
        <f>G627</f>
        <v>1.21</v>
      </c>
      <c r="H626" s="168">
        <f aca="true" t="shared" si="295" ref="H626:I627">H627</f>
        <v>0</v>
      </c>
      <c r="I626" s="168">
        <f t="shared" si="295"/>
        <v>0</v>
      </c>
    </row>
    <row r="627" spans="1:9" ht="46.8">
      <c r="A627" s="312">
        <v>584</v>
      </c>
      <c r="B627" s="256" t="s">
        <v>95</v>
      </c>
      <c r="C627" s="38">
        <v>952</v>
      </c>
      <c r="D627" s="38" t="s">
        <v>386</v>
      </c>
      <c r="E627" s="38" t="s">
        <v>590</v>
      </c>
      <c r="F627" s="38">
        <v>600</v>
      </c>
      <c r="G627" s="168">
        <f>G628</f>
        <v>1.21</v>
      </c>
      <c r="H627" s="168">
        <f t="shared" si="295"/>
        <v>0</v>
      </c>
      <c r="I627" s="168">
        <f t="shared" si="295"/>
        <v>0</v>
      </c>
    </row>
    <row r="628" spans="1:9" ht="15">
      <c r="A628" s="312">
        <v>585</v>
      </c>
      <c r="B628" s="256" t="s">
        <v>140</v>
      </c>
      <c r="C628" s="38">
        <v>952</v>
      </c>
      <c r="D628" s="38" t="s">
        <v>386</v>
      </c>
      <c r="E628" s="38" t="s">
        <v>590</v>
      </c>
      <c r="F628" s="38">
        <v>610</v>
      </c>
      <c r="G628" s="168">
        <v>1.21</v>
      </c>
      <c r="H628" s="168">
        <v>0</v>
      </c>
      <c r="I628" s="168">
        <v>0</v>
      </c>
    </row>
    <row r="629" spans="1:9" ht="31.2">
      <c r="A629" s="312">
        <v>586</v>
      </c>
      <c r="B629" s="253" t="s">
        <v>136</v>
      </c>
      <c r="C629" s="38">
        <v>952</v>
      </c>
      <c r="D629" s="38" t="s">
        <v>386</v>
      </c>
      <c r="E629" s="38" t="s">
        <v>137</v>
      </c>
      <c r="F629" s="38"/>
      <c r="G629" s="168">
        <f t="shared" si="289"/>
        <v>24688.48</v>
      </c>
      <c r="H629" s="168">
        <f t="shared" si="290"/>
        <v>24563.89</v>
      </c>
      <c r="I629" s="168">
        <f t="shared" si="290"/>
        <v>24563.89</v>
      </c>
    </row>
    <row r="630" spans="1:9" ht="31.2">
      <c r="A630" s="312">
        <v>587</v>
      </c>
      <c r="B630" s="253" t="s">
        <v>138</v>
      </c>
      <c r="C630" s="38">
        <v>952</v>
      </c>
      <c r="D630" s="38" t="s">
        <v>386</v>
      </c>
      <c r="E630" s="38" t="s">
        <v>139</v>
      </c>
      <c r="F630" s="38"/>
      <c r="G630" s="168">
        <f t="shared" si="289"/>
        <v>24688.48</v>
      </c>
      <c r="H630" s="168">
        <f t="shared" si="290"/>
        <v>24563.89</v>
      </c>
      <c r="I630" s="168">
        <f t="shared" si="290"/>
        <v>24563.89</v>
      </c>
    </row>
    <row r="631" spans="1:9" ht="46.8">
      <c r="A631" s="312">
        <v>588</v>
      </c>
      <c r="B631" s="256" t="s">
        <v>95</v>
      </c>
      <c r="C631" s="38">
        <v>952</v>
      </c>
      <c r="D631" s="38" t="s">
        <v>386</v>
      </c>
      <c r="E631" s="38" t="s">
        <v>139</v>
      </c>
      <c r="F631" s="38">
        <v>600</v>
      </c>
      <c r="G631" s="168">
        <f t="shared" si="289"/>
        <v>24688.48</v>
      </c>
      <c r="H631" s="168">
        <f aca="true" t="shared" si="296" ref="H631:I631">H632</f>
        <v>24563.89</v>
      </c>
      <c r="I631" s="168">
        <f t="shared" si="296"/>
        <v>24563.89</v>
      </c>
    </row>
    <row r="632" spans="1:9" ht="15">
      <c r="A632" s="312">
        <v>589</v>
      </c>
      <c r="B632" s="256" t="s">
        <v>140</v>
      </c>
      <c r="C632" s="38">
        <v>952</v>
      </c>
      <c r="D632" s="38" t="s">
        <v>386</v>
      </c>
      <c r="E632" s="38" t="s">
        <v>139</v>
      </c>
      <c r="F632" s="38">
        <v>610</v>
      </c>
      <c r="G632" s="168">
        <f>24563.89+972+252.59-58-1042</f>
        <v>24688.48</v>
      </c>
      <c r="H632" s="168">
        <v>24563.89</v>
      </c>
      <c r="I632" s="168">
        <v>24563.89</v>
      </c>
    </row>
    <row r="633" spans="1:9" ht="124.8">
      <c r="A633" s="312">
        <v>590</v>
      </c>
      <c r="B633" s="256" t="s">
        <v>578</v>
      </c>
      <c r="C633" s="38">
        <v>952</v>
      </c>
      <c r="D633" s="38" t="s">
        <v>386</v>
      </c>
      <c r="E633" s="38" t="s">
        <v>580</v>
      </c>
      <c r="F633" s="38"/>
      <c r="G633" s="168">
        <f>G634</f>
        <v>640.6</v>
      </c>
      <c r="H633" s="168">
        <f aca="true" t="shared" si="297" ref="H633:I634">H634</f>
        <v>0</v>
      </c>
      <c r="I633" s="168">
        <f t="shared" si="297"/>
        <v>0</v>
      </c>
    </row>
    <row r="634" spans="1:9" ht="46.8">
      <c r="A634" s="312">
        <v>591</v>
      </c>
      <c r="B634" s="256" t="s">
        <v>95</v>
      </c>
      <c r="C634" s="38">
        <v>952</v>
      </c>
      <c r="D634" s="38" t="s">
        <v>386</v>
      </c>
      <c r="E634" s="38" t="s">
        <v>580</v>
      </c>
      <c r="F634" s="38">
        <v>600</v>
      </c>
      <c r="G634" s="168">
        <f>G635</f>
        <v>640.6</v>
      </c>
      <c r="H634" s="168">
        <f t="shared" si="297"/>
        <v>0</v>
      </c>
      <c r="I634" s="168">
        <f t="shared" si="297"/>
        <v>0</v>
      </c>
    </row>
    <row r="635" spans="1:9" ht="15">
      <c r="A635" s="312">
        <v>592</v>
      </c>
      <c r="B635" s="256" t="s">
        <v>140</v>
      </c>
      <c r="C635" s="38">
        <v>952</v>
      </c>
      <c r="D635" s="38" t="s">
        <v>386</v>
      </c>
      <c r="E635" s="38" t="s">
        <v>580</v>
      </c>
      <c r="F635" s="38">
        <v>610</v>
      </c>
      <c r="G635" s="168">
        <v>640.6</v>
      </c>
      <c r="H635" s="168">
        <v>0</v>
      </c>
      <c r="I635" s="168">
        <v>0</v>
      </c>
    </row>
    <row r="636" spans="1:9" ht="15">
      <c r="A636" s="312">
        <v>593</v>
      </c>
      <c r="B636" s="256" t="s">
        <v>153</v>
      </c>
      <c r="C636" s="38">
        <v>952</v>
      </c>
      <c r="D636" s="38" t="s">
        <v>316</v>
      </c>
      <c r="E636" s="38"/>
      <c r="F636" s="38"/>
      <c r="G636" s="168">
        <f>G637</f>
        <v>5135.430000000001</v>
      </c>
      <c r="H636" s="168">
        <f aca="true" t="shared" si="298" ref="H636:I646">H637</f>
        <v>4936.370000000001</v>
      </c>
      <c r="I636" s="168">
        <f t="shared" si="298"/>
        <v>4936.370000000001</v>
      </c>
    </row>
    <row r="637" spans="1:9" ht="31.2">
      <c r="A637" s="312">
        <v>594</v>
      </c>
      <c r="B637" s="253" t="s">
        <v>155</v>
      </c>
      <c r="C637" s="38">
        <v>952</v>
      </c>
      <c r="D637" s="38" t="s">
        <v>316</v>
      </c>
      <c r="E637" s="38" t="s">
        <v>157</v>
      </c>
      <c r="F637" s="38"/>
      <c r="G637" s="168">
        <f>G645+G638</f>
        <v>5135.430000000001</v>
      </c>
      <c r="H637" s="168">
        <f>H645+H638</f>
        <v>4936.370000000001</v>
      </c>
      <c r="I637" s="168">
        <f>I645+I638</f>
        <v>4936.370000000001</v>
      </c>
    </row>
    <row r="638" spans="1:9" ht="46.8">
      <c r="A638" s="312">
        <v>595</v>
      </c>
      <c r="B638" s="253" t="s">
        <v>267</v>
      </c>
      <c r="C638" s="38">
        <v>952</v>
      </c>
      <c r="D638" s="38" t="s">
        <v>316</v>
      </c>
      <c r="E638" s="38" t="s">
        <v>344</v>
      </c>
      <c r="F638" s="38"/>
      <c r="G638" s="168">
        <f>G639+G642</f>
        <v>575.1</v>
      </c>
      <c r="H638" s="168">
        <f aca="true" t="shared" si="299" ref="H638:I638">H639</f>
        <v>71.8</v>
      </c>
      <c r="I638" s="168">
        <f t="shared" si="299"/>
        <v>71.8</v>
      </c>
    </row>
    <row r="639" spans="1:9" ht="31.2">
      <c r="A639" s="312">
        <v>596</v>
      </c>
      <c r="B639" s="253" t="s">
        <v>431</v>
      </c>
      <c r="C639" s="38">
        <v>952</v>
      </c>
      <c r="D639" s="38" t="s">
        <v>316</v>
      </c>
      <c r="E639" s="38" t="s">
        <v>345</v>
      </c>
      <c r="F639" s="38"/>
      <c r="G639" s="168">
        <f>G640</f>
        <v>71.8</v>
      </c>
      <c r="H639" s="168">
        <f aca="true" t="shared" si="300" ref="H639:I639">H640</f>
        <v>71.8</v>
      </c>
      <c r="I639" s="168">
        <f t="shared" si="300"/>
        <v>71.8</v>
      </c>
    </row>
    <row r="640" spans="1:9" ht="46.8">
      <c r="A640" s="312">
        <v>597</v>
      </c>
      <c r="B640" s="256" t="s">
        <v>95</v>
      </c>
      <c r="C640" s="38">
        <v>952</v>
      </c>
      <c r="D640" s="38" t="s">
        <v>316</v>
      </c>
      <c r="E640" s="38" t="s">
        <v>345</v>
      </c>
      <c r="F640" s="38">
        <v>600</v>
      </c>
      <c r="G640" s="168">
        <f>G641</f>
        <v>71.8</v>
      </c>
      <c r="H640" s="168">
        <f aca="true" t="shared" si="301" ref="H640:I640">H641</f>
        <v>71.8</v>
      </c>
      <c r="I640" s="168">
        <f t="shared" si="301"/>
        <v>71.8</v>
      </c>
    </row>
    <row r="641" spans="1:9" ht="15">
      <c r="A641" s="312">
        <v>598</v>
      </c>
      <c r="B641" s="256" t="s">
        <v>140</v>
      </c>
      <c r="C641" s="38">
        <v>952</v>
      </c>
      <c r="D641" s="38" t="s">
        <v>316</v>
      </c>
      <c r="E641" s="38" t="s">
        <v>345</v>
      </c>
      <c r="F641" s="38">
        <v>610</v>
      </c>
      <c r="G641" s="168">
        <v>71.8</v>
      </c>
      <c r="H641" s="168">
        <v>71.8</v>
      </c>
      <c r="I641" s="168">
        <v>71.8</v>
      </c>
    </row>
    <row r="642" spans="1:9" ht="124.8">
      <c r="A642" s="312">
        <v>599</v>
      </c>
      <c r="B642" s="256" t="s">
        <v>542</v>
      </c>
      <c r="C642" s="38">
        <v>952</v>
      </c>
      <c r="D642" s="38" t="s">
        <v>316</v>
      </c>
      <c r="E642" s="38" t="s">
        <v>543</v>
      </c>
      <c r="F642" s="38"/>
      <c r="G642" s="168">
        <f>G643</f>
        <v>503.3</v>
      </c>
      <c r="H642" s="168">
        <f aca="true" t="shared" si="302" ref="H642:I643">H643</f>
        <v>0</v>
      </c>
      <c r="I642" s="168">
        <f t="shared" si="302"/>
        <v>0</v>
      </c>
    </row>
    <row r="643" spans="1:9" ht="46.8">
      <c r="A643" s="312">
        <v>600</v>
      </c>
      <c r="B643" s="256" t="s">
        <v>95</v>
      </c>
      <c r="C643" s="38">
        <v>952</v>
      </c>
      <c r="D643" s="38" t="s">
        <v>316</v>
      </c>
      <c r="E643" s="38" t="s">
        <v>543</v>
      </c>
      <c r="F643" s="38">
        <v>600</v>
      </c>
      <c r="G643" s="168">
        <f>G644</f>
        <v>503.3</v>
      </c>
      <c r="H643" s="168">
        <f t="shared" si="302"/>
        <v>0</v>
      </c>
      <c r="I643" s="168">
        <f t="shared" si="302"/>
        <v>0</v>
      </c>
    </row>
    <row r="644" spans="1:9" ht="15">
      <c r="A644" s="312">
        <v>601</v>
      </c>
      <c r="B644" s="256" t="s">
        <v>140</v>
      </c>
      <c r="C644" s="38">
        <v>952</v>
      </c>
      <c r="D644" s="38" t="s">
        <v>316</v>
      </c>
      <c r="E644" s="38" t="s">
        <v>543</v>
      </c>
      <c r="F644" s="38">
        <v>610</v>
      </c>
      <c r="G644" s="168">
        <v>503.3</v>
      </c>
      <c r="H644" s="168">
        <v>0</v>
      </c>
      <c r="I644" s="168">
        <v>0</v>
      </c>
    </row>
    <row r="645" spans="1:9" ht="62.4">
      <c r="A645" s="312">
        <v>602</v>
      </c>
      <c r="B645" s="253" t="s">
        <v>156</v>
      </c>
      <c r="C645" s="38">
        <v>952</v>
      </c>
      <c r="D645" s="38" t="s">
        <v>316</v>
      </c>
      <c r="E645" s="38" t="s">
        <v>158</v>
      </c>
      <c r="F645" s="38"/>
      <c r="G645" s="168">
        <f>G646+G649+G652+G655+G658+G661+G664+G667</f>
        <v>4560.330000000001</v>
      </c>
      <c r="H645" s="168">
        <f>H646+H649+H652+H655+H658+H661+H664+H667</f>
        <v>4864.570000000001</v>
      </c>
      <c r="I645" s="168">
        <f>I646+I649+I652+I655+I658+I661+I664+I667</f>
        <v>4864.570000000001</v>
      </c>
    </row>
    <row r="646" spans="1:9" ht="31.2">
      <c r="A646" s="312">
        <v>603</v>
      </c>
      <c r="B646" s="289" t="s">
        <v>154</v>
      </c>
      <c r="C646" s="38">
        <v>952</v>
      </c>
      <c r="D646" s="38" t="s">
        <v>316</v>
      </c>
      <c r="E646" s="38" t="s">
        <v>159</v>
      </c>
      <c r="F646" s="38"/>
      <c r="G646" s="168">
        <f>G647</f>
        <v>4112.35</v>
      </c>
      <c r="H646" s="168">
        <f t="shared" si="298"/>
        <v>4416.62</v>
      </c>
      <c r="I646" s="168">
        <f t="shared" si="298"/>
        <v>4416.62</v>
      </c>
    </row>
    <row r="647" spans="1:9" ht="46.8">
      <c r="A647" s="312">
        <v>604</v>
      </c>
      <c r="B647" s="256" t="s">
        <v>95</v>
      </c>
      <c r="C647" s="38">
        <v>952</v>
      </c>
      <c r="D647" s="38" t="s">
        <v>316</v>
      </c>
      <c r="E647" s="38" t="s">
        <v>159</v>
      </c>
      <c r="F647" s="38">
        <v>600</v>
      </c>
      <c r="G647" s="168">
        <f>G648</f>
        <v>4112.35</v>
      </c>
      <c r="H647" s="168">
        <f aca="true" t="shared" si="303" ref="H647:I647">H648</f>
        <v>4416.62</v>
      </c>
      <c r="I647" s="168">
        <f t="shared" si="303"/>
        <v>4416.62</v>
      </c>
    </row>
    <row r="648" spans="1:12" ht="15">
      <c r="A648" s="312">
        <v>605</v>
      </c>
      <c r="B648" s="256" t="s">
        <v>140</v>
      </c>
      <c r="C648" s="38">
        <v>952</v>
      </c>
      <c r="D648" s="38" t="s">
        <v>316</v>
      </c>
      <c r="E648" s="38" t="s">
        <v>159</v>
      </c>
      <c r="F648" s="38">
        <v>610</v>
      </c>
      <c r="G648" s="168">
        <f>4416.62-0.03+71.1-340.95-34.39</f>
        <v>4112.35</v>
      </c>
      <c r="H648" s="168">
        <v>4416.62</v>
      </c>
      <c r="I648" s="168">
        <v>4416.62</v>
      </c>
      <c r="L648" s="272">
        <v>-34.39</v>
      </c>
    </row>
    <row r="649" spans="1:9" ht="62.4">
      <c r="A649" s="312">
        <v>606</v>
      </c>
      <c r="B649" s="254" t="s">
        <v>193</v>
      </c>
      <c r="C649" s="38">
        <v>952</v>
      </c>
      <c r="D649" s="38" t="s">
        <v>316</v>
      </c>
      <c r="E649" s="38" t="s">
        <v>194</v>
      </c>
      <c r="F649" s="38"/>
      <c r="G649" s="168">
        <f>G650</f>
        <v>263.3</v>
      </c>
      <c r="H649" s="168">
        <f aca="true" t="shared" si="304" ref="H649:I649">H650</f>
        <v>263.3</v>
      </c>
      <c r="I649" s="168">
        <f t="shared" si="304"/>
        <v>263.3</v>
      </c>
    </row>
    <row r="650" spans="1:9" ht="46.8">
      <c r="A650" s="312">
        <v>607</v>
      </c>
      <c r="B650" s="256" t="s">
        <v>95</v>
      </c>
      <c r="C650" s="38">
        <v>952</v>
      </c>
      <c r="D650" s="38" t="s">
        <v>316</v>
      </c>
      <c r="E650" s="38" t="s">
        <v>194</v>
      </c>
      <c r="F650" s="38">
        <v>600</v>
      </c>
      <c r="G650" s="168">
        <f>G651</f>
        <v>263.3</v>
      </c>
      <c r="H650" s="168">
        <f aca="true" t="shared" si="305" ref="H650:I650">H651</f>
        <v>263.3</v>
      </c>
      <c r="I650" s="168">
        <f t="shared" si="305"/>
        <v>263.3</v>
      </c>
    </row>
    <row r="651" spans="1:9" ht="15">
      <c r="A651" s="312">
        <v>608</v>
      </c>
      <c r="B651" s="256" t="s">
        <v>140</v>
      </c>
      <c r="C651" s="38">
        <v>952</v>
      </c>
      <c r="D651" s="38" t="s">
        <v>316</v>
      </c>
      <c r="E651" s="38" t="s">
        <v>194</v>
      </c>
      <c r="F651" s="38">
        <v>610</v>
      </c>
      <c r="G651" s="168">
        <v>263.3</v>
      </c>
      <c r="H651" s="168">
        <v>263.3</v>
      </c>
      <c r="I651" s="168">
        <v>263.3</v>
      </c>
    </row>
    <row r="652" spans="1:9" ht="78">
      <c r="A652" s="312">
        <v>609</v>
      </c>
      <c r="B652" s="254" t="s">
        <v>195</v>
      </c>
      <c r="C652" s="38">
        <v>952</v>
      </c>
      <c r="D652" s="38" t="s">
        <v>316</v>
      </c>
      <c r="E652" s="38" t="s">
        <v>196</v>
      </c>
      <c r="F652" s="38"/>
      <c r="G652" s="168">
        <f>G653</f>
        <v>26.330000000000002</v>
      </c>
      <c r="H652" s="168">
        <f aca="true" t="shared" si="306" ref="H652:I652">H653</f>
        <v>26.3</v>
      </c>
      <c r="I652" s="168">
        <f t="shared" si="306"/>
        <v>26.3</v>
      </c>
    </row>
    <row r="653" spans="1:9" ht="46.8">
      <c r="A653" s="312">
        <v>610</v>
      </c>
      <c r="B653" s="256" t="s">
        <v>95</v>
      </c>
      <c r="C653" s="38">
        <v>952</v>
      </c>
      <c r="D653" s="38" t="s">
        <v>316</v>
      </c>
      <c r="E653" s="38" t="s">
        <v>196</v>
      </c>
      <c r="F653" s="38">
        <v>600</v>
      </c>
      <c r="G653" s="168">
        <f>G654</f>
        <v>26.330000000000002</v>
      </c>
      <c r="H653" s="168">
        <f aca="true" t="shared" si="307" ref="H653:I653">H654</f>
        <v>26.3</v>
      </c>
      <c r="I653" s="168">
        <f t="shared" si="307"/>
        <v>26.3</v>
      </c>
    </row>
    <row r="654" spans="1:9" ht="15">
      <c r="A654" s="312">
        <v>611</v>
      </c>
      <c r="B654" s="256" t="s">
        <v>140</v>
      </c>
      <c r="C654" s="38">
        <v>952</v>
      </c>
      <c r="D654" s="38" t="s">
        <v>316</v>
      </c>
      <c r="E654" s="38" t="s">
        <v>196</v>
      </c>
      <c r="F654" s="38">
        <v>610</v>
      </c>
      <c r="G654" s="168">
        <f>26.3+0.03</f>
        <v>26.330000000000002</v>
      </c>
      <c r="H654" s="168">
        <v>26.3</v>
      </c>
      <c r="I654" s="168">
        <v>26.3</v>
      </c>
    </row>
    <row r="655" spans="1:9" ht="15">
      <c r="A655" s="312">
        <v>612</v>
      </c>
      <c r="B655" s="252" t="s">
        <v>346</v>
      </c>
      <c r="C655" s="38">
        <v>952</v>
      </c>
      <c r="D655" s="38" t="s">
        <v>316</v>
      </c>
      <c r="E655" s="38" t="s">
        <v>349</v>
      </c>
      <c r="F655" s="38"/>
      <c r="G655" s="168">
        <f>G656</f>
        <v>33.75</v>
      </c>
      <c r="H655" s="168">
        <f aca="true" t="shared" si="308" ref="H655:I656">H656</f>
        <v>33.75</v>
      </c>
      <c r="I655" s="168">
        <f t="shared" si="308"/>
        <v>33.75</v>
      </c>
    </row>
    <row r="656" spans="1:9" ht="46.8">
      <c r="A656" s="312">
        <v>613</v>
      </c>
      <c r="B656" s="256" t="s">
        <v>95</v>
      </c>
      <c r="C656" s="38">
        <v>952</v>
      </c>
      <c r="D656" s="38" t="s">
        <v>316</v>
      </c>
      <c r="E656" s="38" t="s">
        <v>349</v>
      </c>
      <c r="F656" s="38">
        <v>600</v>
      </c>
      <c r="G656" s="168">
        <f>G657</f>
        <v>33.75</v>
      </c>
      <c r="H656" s="168">
        <f t="shared" si="308"/>
        <v>33.75</v>
      </c>
      <c r="I656" s="168">
        <f t="shared" si="308"/>
        <v>33.75</v>
      </c>
    </row>
    <row r="657" spans="1:9" ht="15">
      <c r="A657" s="312">
        <v>614</v>
      </c>
      <c r="B657" s="256" t="s">
        <v>140</v>
      </c>
      <c r="C657" s="38">
        <v>952</v>
      </c>
      <c r="D657" s="38" t="s">
        <v>316</v>
      </c>
      <c r="E657" s="38" t="s">
        <v>349</v>
      </c>
      <c r="F657" s="38">
        <v>610</v>
      </c>
      <c r="G657" s="168">
        <v>33.75</v>
      </c>
      <c r="H657" s="168">
        <v>33.75</v>
      </c>
      <c r="I657" s="168">
        <v>33.75</v>
      </c>
    </row>
    <row r="658" spans="1:9" ht="46.8">
      <c r="A658" s="312">
        <v>615</v>
      </c>
      <c r="B658" s="252" t="s">
        <v>347</v>
      </c>
      <c r="C658" s="38">
        <v>952</v>
      </c>
      <c r="D658" s="38" t="s">
        <v>316</v>
      </c>
      <c r="E658" s="38" t="s">
        <v>348</v>
      </c>
      <c r="F658" s="38"/>
      <c r="G658" s="168">
        <f>G659</f>
        <v>27.6</v>
      </c>
      <c r="H658" s="168">
        <f aca="true" t="shared" si="309" ref="H658:I659">H659</f>
        <v>27.6</v>
      </c>
      <c r="I658" s="168">
        <f t="shared" si="309"/>
        <v>27.6</v>
      </c>
    </row>
    <row r="659" spans="1:9" ht="46.8">
      <c r="A659" s="312">
        <v>616</v>
      </c>
      <c r="B659" s="256" t="s">
        <v>95</v>
      </c>
      <c r="C659" s="38">
        <v>952</v>
      </c>
      <c r="D659" s="38" t="s">
        <v>316</v>
      </c>
      <c r="E659" s="38" t="s">
        <v>348</v>
      </c>
      <c r="F659" s="38">
        <v>600</v>
      </c>
      <c r="G659" s="168">
        <f>G660</f>
        <v>27.6</v>
      </c>
      <c r="H659" s="168">
        <f t="shared" si="309"/>
        <v>27.6</v>
      </c>
      <c r="I659" s="168">
        <f t="shared" si="309"/>
        <v>27.6</v>
      </c>
    </row>
    <row r="660" spans="1:9" ht="15">
      <c r="A660" s="312">
        <v>617</v>
      </c>
      <c r="B660" s="256" t="s">
        <v>140</v>
      </c>
      <c r="C660" s="38">
        <v>952</v>
      </c>
      <c r="D660" s="38" t="s">
        <v>316</v>
      </c>
      <c r="E660" s="38" t="s">
        <v>348</v>
      </c>
      <c r="F660" s="38">
        <v>610</v>
      </c>
      <c r="G660" s="168">
        <v>27.6</v>
      </c>
      <c r="H660" s="168">
        <v>27.6</v>
      </c>
      <c r="I660" s="168">
        <v>27.6</v>
      </c>
    </row>
    <row r="661" spans="1:9" ht="31.2">
      <c r="A661" s="312">
        <v>618</v>
      </c>
      <c r="B661" s="252" t="s">
        <v>350</v>
      </c>
      <c r="C661" s="38">
        <v>952</v>
      </c>
      <c r="D661" s="38" t="s">
        <v>316</v>
      </c>
      <c r="E661" s="38" t="s">
        <v>351</v>
      </c>
      <c r="F661" s="38"/>
      <c r="G661" s="168">
        <f>G662</f>
        <v>12.5</v>
      </c>
      <c r="H661" s="168">
        <f aca="true" t="shared" si="310" ref="H661:I662">H662</f>
        <v>12.5</v>
      </c>
      <c r="I661" s="168">
        <f t="shared" si="310"/>
        <v>12.5</v>
      </c>
    </row>
    <row r="662" spans="1:9" ht="46.8">
      <c r="A662" s="312">
        <v>619</v>
      </c>
      <c r="B662" s="256" t="s">
        <v>95</v>
      </c>
      <c r="C662" s="38">
        <v>952</v>
      </c>
      <c r="D662" s="38" t="s">
        <v>316</v>
      </c>
      <c r="E662" s="38" t="s">
        <v>351</v>
      </c>
      <c r="F662" s="38">
        <v>600</v>
      </c>
      <c r="G662" s="168">
        <f>G663</f>
        <v>12.5</v>
      </c>
      <c r="H662" s="168">
        <f t="shared" si="310"/>
        <v>12.5</v>
      </c>
      <c r="I662" s="168">
        <f t="shared" si="310"/>
        <v>12.5</v>
      </c>
    </row>
    <row r="663" spans="1:9" ht="15">
      <c r="A663" s="312">
        <v>620</v>
      </c>
      <c r="B663" s="256" t="s">
        <v>140</v>
      </c>
      <c r="C663" s="38">
        <v>952</v>
      </c>
      <c r="D663" s="38" t="s">
        <v>316</v>
      </c>
      <c r="E663" s="38" t="s">
        <v>351</v>
      </c>
      <c r="F663" s="38">
        <v>610</v>
      </c>
      <c r="G663" s="168">
        <v>12.5</v>
      </c>
      <c r="H663" s="168">
        <v>12.5</v>
      </c>
      <c r="I663" s="168">
        <v>12.5</v>
      </c>
    </row>
    <row r="664" spans="1:9" ht="31.2">
      <c r="A664" s="312">
        <v>621</v>
      </c>
      <c r="B664" s="252" t="s">
        <v>432</v>
      </c>
      <c r="C664" s="38">
        <v>952</v>
      </c>
      <c r="D664" s="38" t="s">
        <v>316</v>
      </c>
      <c r="E664" s="38" t="s">
        <v>352</v>
      </c>
      <c r="F664" s="38"/>
      <c r="G664" s="168">
        <f aca="true" t="shared" si="311" ref="G664:I665">G665</f>
        <v>84.5</v>
      </c>
      <c r="H664" s="168">
        <f t="shared" si="311"/>
        <v>84.5</v>
      </c>
      <c r="I664" s="168">
        <f t="shared" si="311"/>
        <v>84.5</v>
      </c>
    </row>
    <row r="665" spans="1:9" ht="46.8">
      <c r="A665" s="312">
        <v>622</v>
      </c>
      <c r="B665" s="256" t="s">
        <v>95</v>
      </c>
      <c r="C665" s="38">
        <v>952</v>
      </c>
      <c r="D665" s="38" t="s">
        <v>316</v>
      </c>
      <c r="E665" s="38" t="s">
        <v>352</v>
      </c>
      <c r="F665" s="38">
        <v>600</v>
      </c>
      <c r="G665" s="168">
        <f t="shared" si="311"/>
        <v>84.5</v>
      </c>
      <c r="H665" s="168">
        <f t="shared" si="311"/>
        <v>84.5</v>
      </c>
      <c r="I665" s="168">
        <f t="shared" si="311"/>
        <v>84.5</v>
      </c>
    </row>
    <row r="666" spans="1:9" ht="15">
      <c r="A666" s="312">
        <v>623</v>
      </c>
      <c r="B666" s="256" t="s">
        <v>140</v>
      </c>
      <c r="C666" s="38">
        <v>952</v>
      </c>
      <c r="D666" s="38" t="s">
        <v>316</v>
      </c>
      <c r="E666" s="38" t="s">
        <v>352</v>
      </c>
      <c r="F666" s="38">
        <v>610</v>
      </c>
      <c r="G666" s="168">
        <v>84.5</v>
      </c>
      <c r="H666" s="168">
        <v>84.5</v>
      </c>
      <c r="I666" s="168">
        <v>84.5</v>
      </c>
    </row>
    <row r="667" spans="1:9" ht="31.2" hidden="1">
      <c r="A667" s="312"/>
      <c r="B667" s="252" t="s">
        <v>416</v>
      </c>
      <c r="C667" s="38">
        <v>952</v>
      </c>
      <c r="D667" s="38" t="s">
        <v>316</v>
      </c>
      <c r="E667" s="38" t="s">
        <v>353</v>
      </c>
      <c r="F667" s="38"/>
      <c r="G667" s="168">
        <f>G668</f>
        <v>0</v>
      </c>
      <c r="H667" s="168">
        <f aca="true" t="shared" si="312" ref="H667:I667">H668</f>
        <v>0</v>
      </c>
      <c r="I667" s="168">
        <f t="shared" si="312"/>
        <v>0</v>
      </c>
    </row>
    <row r="668" spans="1:9" ht="46.8" hidden="1">
      <c r="A668" s="312"/>
      <c r="B668" s="256" t="s">
        <v>95</v>
      </c>
      <c r="C668" s="38">
        <v>952</v>
      </c>
      <c r="D668" s="38" t="s">
        <v>316</v>
      </c>
      <c r="E668" s="38" t="s">
        <v>353</v>
      </c>
      <c r="F668" s="38">
        <v>610</v>
      </c>
      <c r="G668" s="168">
        <f>1200-1200</f>
        <v>0</v>
      </c>
      <c r="H668" s="168">
        <v>0</v>
      </c>
      <c r="I668" s="168">
        <v>0</v>
      </c>
    </row>
    <row r="669" spans="1:9" ht="15" hidden="1">
      <c r="A669" s="312"/>
      <c r="B669" s="252" t="s">
        <v>141</v>
      </c>
      <c r="C669" s="38">
        <v>952</v>
      </c>
      <c r="D669" s="38" t="s">
        <v>316</v>
      </c>
      <c r="E669" s="38" t="s">
        <v>353</v>
      </c>
      <c r="F669" s="38"/>
      <c r="G669" s="168"/>
      <c r="H669" s="168"/>
      <c r="I669" s="168"/>
    </row>
    <row r="670" spans="1:9" ht="15">
      <c r="A670" s="312">
        <v>624</v>
      </c>
      <c r="B670" s="263" t="s">
        <v>142</v>
      </c>
      <c r="C670" s="38">
        <v>952</v>
      </c>
      <c r="D670" s="38" t="s">
        <v>408</v>
      </c>
      <c r="E670" s="38"/>
      <c r="F670" s="38"/>
      <c r="G670" s="168">
        <f>G671+G724</f>
        <v>74705.73999999999</v>
      </c>
      <c r="H670" s="168">
        <f>H671+H724</f>
        <v>58176.869999999995</v>
      </c>
      <c r="I670" s="168">
        <f>I671+I724</f>
        <v>58176.869999999995</v>
      </c>
    </row>
    <row r="671" spans="1:9" ht="15">
      <c r="A671" s="312">
        <v>625</v>
      </c>
      <c r="B671" s="263" t="s">
        <v>143</v>
      </c>
      <c r="C671" s="38">
        <v>952</v>
      </c>
      <c r="D671" s="38" t="s">
        <v>409</v>
      </c>
      <c r="E671" s="38"/>
      <c r="F671" s="38"/>
      <c r="G671" s="168">
        <f>G672</f>
        <v>60475.13999999999</v>
      </c>
      <c r="H671" s="168">
        <f aca="true" t="shared" si="313" ref="H671:I671">H672</f>
        <v>53382.189999999995</v>
      </c>
      <c r="I671" s="168">
        <f t="shared" si="313"/>
        <v>53382.189999999995</v>
      </c>
    </row>
    <row r="672" spans="1:9" ht="31.2">
      <c r="A672" s="312">
        <v>626</v>
      </c>
      <c r="B672" s="253" t="s">
        <v>354</v>
      </c>
      <c r="C672" s="38">
        <v>952</v>
      </c>
      <c r="D672" s="38" t="s">
        <v>409</v>
      </c>
      <c r="E672" s="38" t="s">
        <v>126</v>
      </c>
      <c r="F672" s="38"/>
      <c r="G672" s="168">
        <f>G673+G686+G708</f>
        <v>60475.13999999999</v>
      </c>
      <c r="H672" s="168">
        <f>H673+H686+H708</f>
        <v>53382.189999999995</v>
      </c>
      <c r="I672" s="168">
        <f>I673+I686+I708</f>
        <v>53382.189999999995</v>
      </c>
    </row>
    <row r="673" spans="1:9" ht="15">
      <c r="A673" s="312">
        <v>627</v>
      </c>
      <c r="B673" s="253" t="s">
        <v>144</v>
      </c>
      <c r="C673" s="38">
        <v>952</v>
      </c>
      <c r="D673" s="38" t="s">
        <v>409</v>
      </c>
      <c r="E673" s="38" t="s">
        <v>145</v>
      </c>
      <c r="F673" s="38"/>
      <c r="G673" s="168">
        <f>G674+G677+G680+G683</f>
        <v>18645.96</v>
      </c>
      <c r="H673" s="168">
        <f>H674+H677+H680</f>
        <v>16697.949999999997</v>
      </c>
      <c r="I673" s="168">
        <f>I674+I677+I680</f>
        <v>16697.949999999997</v>
      </c>
    </row>
    <row r="674" spans="1:9" ht="62.4">
      <c r="A674" s="312">
        <v>628</v>
      </c>
      <c r="B674" s="293" t="s">
        <v>146</v>
      </c>
      <c r="C674" s="38">
        <v>952</v>
      </c>
      <c r="D674" s="38" t="s">
        <v>409</v>
      </c>
      <c r="E674" s="38" t="s">
        <v>147</v>
      </c>
      <c r="F674" s="38"/>
      <c r="G674" s="168">
        <f>G675</f>
        <v>10387.189999999999</v>
      </c>
      <c r="H674" s="168">
        <f aca="true" t="shared" si="314" ref="H674:I675">H675</f>
        <v>10867.26</v>
      </c>
      <c r="I674" s="168">
        <f t="shared" si="314"/>
        <v>10867.26</v>
      </c>
    </row>
    <row r="675" spans="1:9" ht="46.8">
      <c r="A675" s="312">
        <v>629</v>
      </c>
      <c r="B675" s="256" t="s">
        <v>95</v>
      </c>
      <c r="C675" s="38">
        <v>952</v>
      </c>
      <c r="D675" s="38" t="s">
        <v>409</v>
      </c>
      <c r="E675" s="38" t="s">
        <v>147</v>
      </c>
      <c r="F675" s="38">
        <v>600</v>
      </c>
      <c r="G675" s="168">
        <f>G676</f>
        <v>10387.189999999999</v>
      </c>
      <c r="H675" s="168">
        <f t="shared" si="314"/>
        <v>10867.26</v>
      </c>
      <c r="I675" s="168">
        <f t="shared" si="314"/>
        <v>10867.26</v>
      </c>
    </row>
    <row r="676" spans="1:12" ht="15">
      <c r="A676" s="312">
        <v>630</v>
      </c>
      <c r="B676" s="256" t="s">
        <v>140</v>
      </c>
      <c r="C676" s="38">
        <v>952</v>
      </c>
      <c r="D676" s="38" t="s">
        <v>409</v>
      </c>
      <c r="E676" s="38" t="s">
        <v>147</v>
      </c>
      <c r="F676" s="38">
        <v>610</v>
      </c>
      <c r="G676" s="168">
        <f>10867.26+44.43+247.38-554.04-183-34.84</f>
        <v>10387.189999999999</v>
      </c>
      <c r="H676" s="168">
        <v>10867.26</v>
      </c>
      <c r="I676" s="168">
        <v>10867.26</v>
      </c>
      <c r="L676" s="272">
        <v>-34.84</v>
      </c>
    </row>
    <row r="677" spans="1:9" ht="46.8">
      <c r="A677" s="312">
        <v>631</v>
      </c>
      <c r="B677" s="252" t="s">
        <v>163</v>
      </c>
      <c r="C677" s="38">
        <v>952</v>
      </c>
      <c r="D677" s="38" t="s">
        <v>409</v>
      </c>
      <c r="E677" s="38" t="s">
        <v>162</v>
      </c>
      <c r="F677" s="38"/>
      <c r="G677" s="168">
        <f>G678</f>
        <v>3031.3999999999996</v>
      </c>
      <c r="H677" s="168">
        <f aca="true" t="shared" si="315" ref="H677:I678">H678</f>
        <v>2965.7</v>
      </c>
      <c r="I677" s="168">
        <f t="shared" si="315"/>
        <v>2965.7</v>
      </c>
    </row>
    <row r="678" spans="1:9" ht="46.8">
      <c r="A678" s="312">
        <v>632</v>
      </c>
      <c r="B678" s="256" t="s">
        <v>95</v>
      </c>
      <c r="C678" s="38">
        <v>952</v>
      </c>
      <c r="D678" s="38" t="s">
        <v>409</v>
      </c>
      <c r="E678" s="38" t="s">
        <v>162</v>
      </c>
      <c r="F678" s="38">
        <v>600</v>
      </c>
      <c r="G678" s="168">
        <f>G679</f>
        <v>3031.3999999999996</v>
      </c>
      <c r="H678" s="168">
        <f t="shared" si="315"/>
        <v>2965.7</v>
      </c>
      <c r="I678" s="168">
        <f t="shared" si="315"/>
        <v>2965.7</v>
      </c>
    </row>
    <row r="679" spans="1:9" ht="15">
      <c r="A679" s="312">
        <v>633</v>
      </c>
      <c r="B679" s="256" t="s">
        <v>140</v>
      </c>
      <c r="C679" s="38">
        <v>952</v>
      </c>
      <c r="D679" s="38" t="s">
        <v>409</v>
      </c>
      <c r="E679" s="38" t="s">
        <v>162</v>
      </c>
      <c r="F679" s="38">
        <v>610</v>
      </c>
      <c r="G679" s="168">
        <f>2965.7-369.36+435.1-0.04</f>
        <v>3031.3999999999996</v>
      </c>
      <c r="H679" s="168">
        <v>2965.7</v>
      </c>
      <c r="I679" s="168">
        <v>2965.7</v>
      </c>
    </row>
    <row r="680" spans="1:9" ht="46.8">
      <c r="A680" s="312">
        <v>634</v>
      </c>
      <c r="B680" s="293" t="s">
        <v>152</v>
      </c>
      <c r="C680" s="38">
        <v>952</v>
      </c>
      <c r="D680" s="38" t="s">
        <v>409</v>
      </c>
      <c r="E680" s="38" t="s">
        <v>164</v>
      </c>
      <c r="F680" s="38"/>
      <c r="G680" s="168">
        <f>G681</f>
        <v>3265.59</v>
      </c>
      <c r="H680" s="168">
        <f aca="true" t="shared" si="316" ref="H680:I681">H681</f>
        <v>2864.99</v>
      </c>
      <c r="I680" s="168">
        <f t="shared" si="316"/>
        <v>2864.99</v>
      </c>
    </row>
    <row r="681" spans="1:9" ht="46.8">
      <c r="A681" s="312">
        <v>635</v>
      </c>
      <c r="B681" s="256" t="s">
        <v>95</v>
      </c>
      <c r="C681" s="38">
        <v>952</v>
      </c>
      <c r="D681" s="38" t="s">
        <v>409</v>
      </c>
      <c r="E681" s="38" t="s">
        <v>164</v>
      </c>
      <c r="F681" s="38">
        <v>600</v>
      </c>
      <c r="G681" s="168">
        <f>G682</f>
        <v>3265.59</v>
      </c>
      <c r="H681" s="168">
        <f t="shared" si="316"/>
        <v>2864.99</v>
      </c>
      <c r="I681" s="168">
        <f t="shared" si="316"/>
        <v>2864.99</v>
      </c>
    </row>
    <row r="682" spans="1:12" ht="15">
      <c r="A682" s="312">
        <v>636</v>
      </c>
      <c r="B682" s="256" t="s">
        <v>140</v>
      </c>
      <c r="C682" s="38">
        <v>952</v>
      </c>
      <c r="D682" s="38" t="s">
        <v>409</v>
      </c>
      <c r="E682" s="38" t="s">
        <v>164</v>
      </c>
      <c r="F682" s="38">
        <v>610</v>
      </c>
      <c r="G682" s="168">
        <f>2864.99+58.59-113.65+559.13-103.47</f>
        <v>3265.59</v>
      </c>
      <c r="H682" s="168">
        <v>2864.99</v>
      </c>
      <c r="I682" s="168">
        <v>2864.99</v>
      </c>
      <c r="L682" s="272">
        <v>-103.47</v>
      </c>
    </row>
    <row r="683" spans="1:9" ht="124.8">
      <c r="A683" s="312">
        <v>637</v>
      </c>
      <c r="B683" s="256" t="s">
        <v>573</v>
      </c>
      <c r="C683" s="38">
        <v>952</v>
      </c>
      <c r="D683" s="38" t="s">
        <v>409</v>
      </c>
      <c r="E683" s="38" t="s">
        <v>574</v>
      </c>
      <c r="F683" s="38"/>
      <c r="G683" s="168">
        <f>G684</f>
        <v>1961.7800000000002</v>
      </c>
      <c r="H683" s="168">
        <f aca="true" t="shared" si="317" ref="H683:I684">H684</f>
        <v>0</v>
      </c>
      <c r="I683" s="168">
        <f t="shared" si="317"/>
        <v>0</v>
      </c>
    </row>
    <row r="684" spans="1:9" ht="46.8">
      <c r="A684" s="312">
        <v>638</v>
      </c>
      <c r="B684" s="256" t="s">
        <v>95</v>
      </c>
      <c r="C684" s="38">
        <v>952</v>
      </c>
      <c r="D684" s="38" t="s">
        <v>409</v>
      </c>
      <c r="E684" s="38" t="s">
        <v>574</v>
      </c>
      <c r="F684" s="38">
        <v>600</v>
      </c>
      <c r="G684" s="168">
        <f>G685</f>
        <v>1961.7800000000002</v>
      </c>
      <c r="H684" s="168">
        <f t="shared" si="317"/>
        <v>0</v>
      </c>
      <c r="I684" s="168">
        <f t="shared" si="317"/>
        <v>0</v>
      </c>
    </row>
    <row r="685" spans="1:11" ht="15">
      <c r="A685" s="312">
        <v>639</v>
      </c>
      <c r="B685" s="256" t="s">
        <v>140</v>
      </c>
      <c r="C685" s="38">
        <v>952</v>
      </c>
      <c r="D685" s="38" t="s">
        <v>409</v>
      </c>
      <c r="E685" s="38" t="s">
        <v>574</v>
      </c>
      <c r="F685" s="38">
        <v>610</v>
      </c>
      <c r="G685" s="168">
        <f>779.85+1181.93</f>
        <v>1961.7800000000002</v>
      </c>
      <c r="H685" s="168">
        <v>0</v>
      </c>
      <c r="I685" s="168">
        <v>0</v>
      </c>
      <c r="K685" s="237">
        <v>1181.93</v>
      </c>
    </row>
    <row r="686" spans="1:9" ht="15">
      <c r="A686" s="312">
        <v>640</v>
      </c>
      <c r="B686" s="116" t="s">
        <v>148</v>
      </c>
      <c r="C686" s="38">
        <v>952</v>
      </c>
      <c r="D686" s="38" t="s">
        <v>409</v>
      </c>
      <c r="E686" s="38" t="s">
        <v>149</v>
      </c>
      <c r="F686" s="38"/>
      <c r="G686" s="168">
        <f>G687+G690+G693+G702+G696+G699+G705</f>
        <v>40528.31999999999</v>
      </c>
      <c r="H686" s="168">
        <f aca="true" t="shared" si="318" ref="H686:I686">H687+H690+H693+H702+H696+H699+H705</f>
        <v>36334.24</v>
      </c>
      <c r="I686" s="168">
        <f t="shared" si="318"/>
        <v>36334.24</v>
      </c>
    </row>
    <row r="687" spans="1:9" ht="46.8">
      <c r="A687" s="312">
        <v>641</v>
      </c>
      <c r="B687" s="293" t="s">
        <v>150</v>
      </c>
      <c r="C687" s="38">
        <v>952</v>
      </c>
      <c r="D687" s="38" t="s">
        <v>409</v>
      </c>
      <c r="E687" s="38" t="s">
        <v>151</v>
      </c>
      <c r="F687" s="38"/>
      <c r="G687" s="168">
        <f>G688</f>
        <v>11885.57</v>
      </c>
      <c r="H687" s="168">
        <f aca="true" t="shared" si="319" ref="H687:I688">H688</f>
        <v>11396.21</v>
      </c>
      <c r="I687" s="168">
        <f t="shared" si="319"/>
        <v>11396.21</v>
      </c>
    </row>
    <row r="688" spans="1:9" ht="46.8">
      <c r="A688" s="312">
        <v>642</v>
      </c>
      <c r="B688" s="256" t="s">
        <v>95</v>
      </c>
      <c r="C688" s="38">
        <v>952</v>
      </c>
      <c r="D688" s="38" t="s">
        <v>409</v>
      </c>
      <c r="E688" s="38" t="s">
        <v>151</v>
      </c>
      <c r="F688" s="38">
        <v>600</v>
      </c>
      <c r="G688" s="168">
        <f>G689</f>
        <v>11885.57</v>
      </c>
      <c r="H688" s="168">
        <f t="shared" si="319"/>
        <v>11396.21</v>
      </c>
      <c r="I688" s="168">
        <f t="shared" si="319"/>
        <v>11396.21</v>
      </c>
    </row>
    <row r="689" spans="1:12" ht="15">
      <c r="A689" s="312">
        <v>643</v>
      </c>
      <c r="B689" s="256" t="s">
        <v>140</v>
      </c>
      <c r="C689" s="38">
        <v>952</v>
      </c>
      <c r="D689" s="38" t="s">
        <v>409</v>
      </c>
      <c r="E689" s="38" t="s">
        <v>151</v>
      </c>
      <c r="F689" s="38">
        <v>610</v>
      </c>
      <c r="G689" s="168">
        <f>11396.21+320.36+208.32-289.83+250.51</f>
        <v>11885.57</v>
      </c>
      <c r="H689" s="168">
        <v>11396.21</v>
      </c>
      <c r="I689" s="168">
        <v>11396.21</v>
      </c>
      <c r="L689" s="272">
        <v>250.51</v>
      </c>
    </row>
    <row r="690" spans="1:9" ht="46.8">
      <c r="A690" s="312">
        <v>644</v>
      </c>
      <c r="B690" s="293" t="s">
        <v>160</v>
      </c>
      <c r="C690" s="38">
        <v>952</v>
      </c>
      <c r="D690" s="38" t="s">
        <v>409</v>
      </c>
      <c r="E690" s="38" t="s">
        <v>161</v>
      </c>
      <c r="F690" s="38"/>
      <c r="G690" s="168">
        <f>G691</f>
        <v>20228.62</v>
      </c>
      <c r="H690" s="168">
        <f aca="true" t="shared" si="320" ref="H690:I691">H691</f>
        <v>21682.05</v>
      </c>
      <c r="I690" s="168">
        <f t="shared" si="320"/>
        <v>21682.05</v>
      </c>
    </row>
    <row r="691" spans="1:9" ht="46.8">
      <c r="A691" s="312">
        <v>645</v>
      </c>
      <c r="B691" s="256" t="s">
        <v>95</v>
      </c>
      <c r="C691" s="38">
        <v>952</v>
      </c>
      <c r="D691" s="38" t="s">
        <v>409</v>
      </c>
      <c r="E691" s="38" t="s">
        <v>161</v>
      </c>
      <c r="F691" s="38">
        <v>600</v>
      </c>
      <c r="G691" s="168">
        <f>G692</f>
        <v>20228.62</v>
      </c>
      <c r="H691" s="168">
        <f t="shared" si="320"/>
        <v>21682.05</v>
      </c>
      <c r="I691" s="168">
        <f t="shared" si="320"/>
        <v>21682.05</v>
      </c>
    </row>
    <row r="692" spans="1:12" ht="15">
      <c r="A692" s="312">
        <v>646</v>
      </c>
      <c r="B692" s="256" t="s">
        <v>140</v>
      </c>
      <c r="C692" s="38">
        <v>952</v>
      </c>
      <c r="D692" s="38" t="s">
        <v>409</v>
      </c>
      <c r="E692" s="38" t="s">
        <v>161</v>
      </c>
      <c r="F692" s="38">
        <v>610</v>
      </c>
      <c r="G692" s="168">
        <f>21682.05+242.41+366.92-1996.3-66.46</f>
        <v>20228.62</v>
      </c>
      <c r="H692" s="168">
        <v>21682.05</v>
      </c>
      <c r="I692" s="168">
        <v>21682.05</v>
      </c>
      <c r="L692" s="272">
        <v>-66.46</v>
      </c>
    </row>
    <row r="693" spans="1:9" ht="46.8">
      <c r="A693" s="312">
        <v>647</v>
      </c>
      <c r="B693" s="287" t="s">
        <v>598</v>
      </c>
      <c r="C693" s="38">
        <v>952</v>
      </c>
      <c r="D693" s="38" t="s">
        <v>409</v>
      </c>
      <c r="E693" s="38" t="s">
        <v>597</v>
      </c>
      <c r="F693" s="38"/>
      <c r="G693" s="168">
        <f>G694</f>
        <v>2439.11</v>
      </c>
      <c r="H693" s="168">
        <f aca="true" t="shared" si="321" ref="H693:I694">H694</f>
        <v>0</v>
      </c>
      <c r="I693" s="168">
        <f t="shared" si="321"/>
        <v>0</v>
      </c>
    </row>
    <row r="694" spans="1:9" ht="46.8">
      <c r="A694" s="312">
        <v>648</v>
      </c>
      <c r="B694" s="285" t="s">
        <v>95</v>
      </c>
      <c r="C694" s="38">
        <v>952</v>
      </c>
      <c r="D694" s="38" t="s">
        <v>409</v>
      </c>
      <c r="E694" s="38" t="s">
        <v>597</v>
      </c>
      <c r="F694" s="38">
        <v>600</v>
      </c>
      <c r="G694" s="168">
        <f>G695</f>
        <v>2439.11</v>
      </c>
      <c r="H694" s="168">
        <f t="shared" si="321"/>
        <v>0</v>
      </c>
      <c r="I694" s="168">
        <f t="shared" si="321"/>
        <v>0</v>
      </c>
    </row>
    <row r="695" spans="1:10" ht="15">
      <c r="A695" s="312">
        <v>649</v>
      </c>
      <c r="B695" s="285" t="s">
        <v>140</v>
      </c>
      <c r="C695" s="38">
        <v>952</v>
      </c>
      <c r="D695" s="38" t="s">
        <v>409</v>
      </c>
      <c r="E695" s="38" t="s">
        <v>597</v>
      </c>
      <c r="F695" s="38">
        <v>610</v>
      </c>
      <c r="G695" s="168">
        <v>2439.11</v>
      </c>
      <c r="H695" s="168">
        <v>0</v>
      </c>
      <c r="I695" s="168">
        <v>0</v>
      </c>
      <c r="J695" s="162">
        <v>2439.11</v>
      </c>
    </row>
    <row r="696" spans="1:9" ht="46.8">
      <c r="A696" s="312">
        <v>650</v>
      </c>
      <c r="B696" s="116" t="s">
        <v>165</v>
      </c>
      <c r="C696" s="38">
        <v>952</v>
      </c>
      <c r="D696" s="38" t="s">
        <v>409</v>
      </c>
      <c r="E696" s="38" t="s">
        <v>166</v>
      </c>
      <c r="F696" s="38"/>
      <c r="G696" s="168">
        <f>G697</f>
        <v>2633.6999999999994</v>
      </c>
      <c r="H696" s="168">
        <f aca="true" t="shared" si="322" ref="H696:I696">H697</f>
        <v>3255.98</v>
      </c>
      <c r="I696" s="168">
        <f t="shared" si="322"/>
        <v>3255.98</v>
      </c>
    </row>
    <row r="697" spans="1:9" ht="46.8">
      <c r="A697" s="312">
        <v>651</v>
      </c>
      <c r="B697" s="256" t="s">
        <v>95</v>
      </c>
      <c r="C697" s="38">
        <v>952</v>
      </c>
      <c r="D697" s="38" t="s">
        <v>409</v>
      </c>
      <c r="E697" s="38" t="s">
        <v>166</v>
      </c>
      <c r="F697" s="38">
        <v>600</v>
      </c>
      <c r="G697" s="168">
        <f>G698</f>
        <v>2633.6999999999994</v>
      </c>
      <c r="H697" s="168">
        <f>H698</f>
        <v>3255.98</v>
      </c>
      <c r="I697" s="168">
        <f>I698</f>
        <v>3255.98</v>
      </c>
    </row>
    <row r="698" spans="1:10" ht="15">
      <c r="A698" s="312">
        <v>652</v>
      </c>
      <c r="B698" s="256" t="s">
        <v>140</v>
      </c>
      <c r="C698" s="38">
        <v>952</v>
      </c>
      <c r="D698" s="38" t="s">
        <v>409</v>
      </c>
      <c r="E698" s="38" t="s">
        <v>166</v>
      </c>
      <c r="F698" s="38">
        <v>610</v>
      </c>
      <c r="G698" s="168">
        <f>3255.98+58.59-227.3+1985.54-2439.11</f>
        <v>2633.6999999999994</v>
      </c>
      <c r="H698" s="168">
        <v>3255.98</v>
      </c>
      <c r="I698" s="168">
        <v>3255.98</v>
      </c>
      <c r="J698" s="162">
        <v>-2439.11</v>
      </c>
    </row>
    <row r="699" spans="1:9" ht="124.8">
      <c r="A699" s="312">
        <v>653</v>
      </c>
      <c r="B699" s="292" t="s">
        <v>573</v>
      </c>
      <c r="C699" s="38">
        <v>952</v>
      </c>
      <c r="D699" s="38" t="s">
        <v>409</v>
      </c>
      <c r="E699" s="38" t="s">
        <v>581</v>
      </c>
      <c r="F699" s="38"/>
      <c r="G699" s="168">
        <f>G700</f>
        <v>3126.3199999999997</v>
      </c>
      <c r="H699" s="168">
        <f aca="true" t="shared" si="323" ref="H699:I700">H700</f>
        <v>0</v>
      </c>
      <c r="I699" s="168">
        <f t="shared" si="323"/>
        <v>0</v>
      </c>
    </row>
    <row r="700" spans="1:9" ht="46.8">
      <c r="A700" s="312">
        <v>654</v>
      </c>
      <c r="B700" s="256" t="s">
        <v>95</v>
      </c>
      <c r="C700" s="38">
        <v>952</v>
      </c>
      <c r="D700" s="38" t="s">
        <v>409</v>
      </c>
      <c r="E700" s="38" t="s">
        <v>581</v>
      </c>
      <c r="F700" s="38">
        <v>600</v>
      </c>
      <c r="G700" s="168">
        <f>G701</f>
        <v>3126.3199999999997</v>
      </c>
      <c r="H700" s="168">
        <f t="shared" si="323"/>
        <v>0</v>
      </c>
      <c r="I700" s="168">
        <f t="shared" si="323"/>
        <v>0</v>
      </c>
    </row>
    <row r="701" spans="1:11" ht="15">
      <c r="A701" s="312">
        <v>655</v>
      </c>
      <c r="B701" s="256" t="s">
        <v>140</v>
      </c>
      <c r="C701" s="38">
        <v>952</v>
      </c>
      <c r="D701" s="38" t="s">
        <v>409</v>
      </c>
      <c r="E701" s="38" t="s">
        <v>581</v>
      </c>
      <c r="F701" s="38">
        <v>610</v>
      </c>
      <c r="G701" s="168">
        <f>893.05+2233.27</f>
        <v>3126.3199999999997</v>
      </c>
      <c r="H701" s="168">
        <v>0</v>
      </c>
      <c r="I701" s="168">
        <v>0</v>
      </c>
      <c r="K701" s="237">
        <v>2233.27</v>
      </c>
    </row>
    <row r="702" spans="1:9" ht="124.8">
      <c r="A702" s="312">
        <v>656</v>
      </c>
      <c r="B702" s="256" t="s">
        <v>583</v>
      </c>
      <c r="C702" s="38">
        <v>952</v>
      </c>
      <c r="D702" s="38" t="s">
        <v>409</v>
      </c>
      <c r="E702" s="38" t="s">
        <v>582</v>
      </c>
      <c r="F702" s="38"/>
      <c r="G702" s="168">
        <f>G703</f>
        <v>200</v>
      </c>
      <c r="H702" s="168">
        <f aca="true" t="shared" si="324" ref="H702:I703">H703</f>
        <v>0</v>
      </c>
      <c r="I702" s="168">
        <f t="shared" si="324"/>
        <v>0</v>
      </c>
    </row>
    <row r="703" spans="1:9" ht="46.8">
      <c r="A703" s="312">
        <v>657</v>
      </c>
      <c r="B703" s="256" t="s">
        <v>95</v>
      </c>
      <c r="C703" s="38">
        <v>952</v>
      </c>
      <c r="D703" s="38" t="s">
        <v>409</v>
      </c>
      <c r="E703" s="38" t="s">
        <v>582</v>
      </c>
      <c r="F703" s="38">
        <v>600</v>
      </c>
      <c r="G703" s="168">
        <f>G704</f>
        <v>200</v>
      </c>
      <c r="H703" s="168">
        <f t="shared" si="324"/>
        <v>0</v>
      </c>
      <c r="I703" s="168">
        <f t="shared" si="324"/>
        <v>0</v>
      </c>
    </row>
    <row r="704" spans="1:9" ht="15">
      <c r="A704" s="312">
        <v>658</v>
      </c>
      <c r="B704" s="256" t="s">
        <v>140</v>
      </c>
      <c r="C704" s="38">
        <v>952</v>
      </c>
      <c r="D704" s="38" t="s">
        <v>409</v>
      </c>
      <c r="E704" s="38" t="s">
        <v>582</v>
      </c>
      <c r="F704" s="38">
        <v>610</v>
      </c>
      <c r="G704" s="168">
        <v>200</v>
      </c>
      <c r="H704" s="168">
        <v>0</v>
      </c>
      <c r="I704" s="168">
        <v>0</v>
      </c>
    </row>
    <row r="705" spans="1:9" ht="31.2">
      <c r="A705" s="312">
        <v>659</v>
      </c>
      <c r="B705" s="291" t="s">
        <v>477</v>
      </c>
      <c r="C705" s="38">
        <v>952</v>
      </c>
      <c r="D705" s="38" t="s">
        <v>409</v>
      </c>
      <c r="E705" s="38" t="s">
        <v>478</v>
      </c>
      <c r="F705" s="38"/>
      <c r="G705" s="168">
        <f>G706</f>
        <v>15</v>
      </c>
      <c r="H705" s="168">
        <f aca="true" t="shared" si="325" ref="H705:I706">H706</f>
        <v>0</v>
      </c>
      <c r="I705" s="168">
        <f t="shared" si="325"/>
        <v>0</v>
      </c>
    </row>
    <row r="706" spans="1:9" ht="46.8">
      <c r="A706" s="312">
        <v>660</v>
      </c>
      <c r="B706" s="256" t="s">
        <v>95</v>
      </c>
      <c r="C706" s="38">
        <v>952</v>
      </c>
      <c r="D706" s="38" t="s">
        <v>409</v>
      </c>
      <c r="E706" s="38" t="s">
        <v>478</v>
      </c>
      <c r="F706" s="38">
        <v>600</v>
      </c>
      <c r="G706" s="168">
        <f>G707</f>
        <v>15</v>
      </c>
      <c r="H706" s="168">
        <f t="shared" si="325"/>
        <v>0</v>
      </c>
      <c r="I706" s="168">
        <f t="shared" si="325"/>
        <v>0</v>
      </c>
    </row>
    <row r="707" spans="1:12" ht="15">
      <c r="A707" s="312">
        <v>661</v>
      </c>
      <c r="B707" s="256" t="s">
        <v>140</v>
      </c>
      <c r="C707" s="38">
        <v>952</v>
      </c>
      <c r="D707" s="38" t="s">
        <v>409</v>
      </c>
      <c r="E707" s="38" t="s">
        <v>478</v>
      </c>
      <c r="F707" s="38">
        <v>610</v>
      </c>
      <c r="G707" s="168">
        <f>168.16-153.16</f>
        <v>15</v>
      </c>
      <c r="H707" s="168">
        <v>0</v>
      </c>
      <c r="I707" s="168">
        <v>0</v>
      </c>
      <c r="L707" s="272">
        <v>-153.16</v>
      </c>
    </row>
    <row r="708" spans="1:9" ht="31.2">
      <c r="A708" s="312">
        <v>662</v>
      </c>
      <c r="B708" s="253" t="s">
        <v>136</v>
      </c>
      <c r="C708" s="38">
        <v>952</v>
      </c>
      <c r="D708" s="38" t="s">
        <v>409</v>
      </c>
      <c r="E708" s="38" t="s">
        <v>137</v>
      </c>
      <c r="F708" s="38"/>
      <c r="G708" s="168">
        <f>G709+G715+G718+G721+G712</f>
        <v>1300.8600000000001</v>
      </c>
      <c r="H708" s="168">
        <f>+H709+H715+H718+H721</f>
        <v>350</v>
      </c>
      <c r="I708" s="168">
        <f>+I709+I715+I718+I721</f>
        <v>350</v>
      </c>
    </row>
    <row r="709" spans="1:9" ht="78">
      <c r="A709" s="312">
        <v>663</v>
      </c>
      <c r="B709" s="252" t="s">
        <v>544</v>
      </c>
      <c r="C709" s="38">
        <v>952</v>
      </c>
      <c r="D709" s="38" t="s">
        <v>409</v>
      </c>
      <c r="E709" s="38" t="s">
        <v>545</v>
      </c>
      <c r="F709" s="38"/>
      <c r="G709" s="168">
        <f>G710</f>
        <v>202.6</v>
      </c>
      <c r="H709" s="168">
        <f aca="true" t="shared" si="326" ref="H709:I709">H710</f>
        <v>0</v>
      </c>
      <c r="I709" s="168">
        <f t="shared" si="326"/>
        <v>0</v>
      </c>
    </row>
    <row r="710" spans="1:9" ht="46.8">
      <c r="A710" s="312">
        <v>664</v>
      </c>
      <c r="B710" s="256" t="s">
        <v>95</v>
      </c>
      <c r="C710" s="38">
        <v>952</v>
      </c>
      <c r="D710" s="38" t="s">
        <v>409</v>
      </c>
      <c r="E710" s="38" t="s">
        <v>545</v>
      </c>
      <c r="F710" s="38">
        <v>600</v>
      </c>
      <c r="G710" s="168">
        <f>G711</f>
        <v>202.6</v>
      </c>
      <c r="H710" s="168">
        <f aca="true" t="shared" si="327" ref="H710:I710">H711</f>
        <v>0</v>
      </c>
      <c r="I710" s="168">
        <f t="shared" si="327"/>
        <v>0</v>
      </c>
    </row>
    <row r="711" spans="1:9" ht="15">
      <c r="A711" s="312">
        <v>665</v>
      </c>
      <c r="B711" s="256" t="s">
        <v>140</v>
      </c>
      <c r="C711" s="38">
        <v>952</v>
      </c>
      <c r="D711" s="38" t="s">
        <v>409</v>
      </c>
      <c r="E711" s="38" t="s">
        <v>545</v>
      </c>
      <c r="F711" s="38">
        <v>610</v>
      </c>
      <c r="G711" s="168">
        <v>202.6</v>
      </c>
      <c r="H711" s="168">
        <v>0</v>
      </c>
      <c r="I711" s="168">
        <v>0</v>
      </c>
    </row>
    <row r="712" spans="1:9" ht="78">
      <c r="A712" s="312">
        <v>666</v>
      </c>
      <c r="B712" s="256" t="s">
        <v>546</v>
      </c>
      <c r="C712" s="38">
        <v>952</v>
      </c>
      <c r="D712" s="38" t="s">
        <v>409</v>
      </c>
      <c r="E712" s="38" t="s">
        <v>535</v>
      </c>
      <c r="F712" s="38"/>
      <c r="G712" s="168">
        <f>G713</f>
        <v>598.26</v>
      </c>
      <c r="H712" s="168">
        <f aca="true" t="shared" si="328" ref="H712:I713">H713</f>
        <v>0</v>
      </c>
      <c r="I712" s="168">
        <f t="shared" si="328"/>
        <v>0</v>
      </c>
    </row>
    <row r="713" spans="1:9" ht="46.8">
      <c r="A713" s="312">
        <v>667</v>
      </c>
      <c r="B713" s="256" t="s">
        <v>95</v>
      </c>
      <c r="C713" s="38">
        <v>952</v>
      </c>
      <c r="D713" s="38" t="s">
        <v>409</v>
      </c>
      <c r="E713" s="38" t="s">
        <v>535</v>
      </c>
      <c r="F713" s="38">
        <v>600</v>
      </c>
      <c r="G713" s="168">
        <f>G714</f>
        <v>598.26</v>
      </c>
      <c r="H713" s="168">
        <f t="shared" si="328"/>
        <v>0</v>
      </c>
      <c r="I713" s="168">
        <f t="shared" si="328"/>
        <v>0</v>
      </c>
    </row>
    <row r="714" spans="1:9" ht="15">
      <c r="A714" s="312">
        <v>668</v>
      </c>
      <c r="B714" s="256" t="s">
        <v>140</v>
      </c>
      <c r="C714" s="38">
        <v>952</v>
      </c>
      <c r="D714" s="38" t="s">
        <v>409</v>
      </c>
      <c r="E714" s="38" t="s">
        <v>535</v>
      </c>
      <c r="F714" s="38">
        <v>610</v>
      </c>
      <c r="G714" s="168">
        <v>598.26</v>
      </c>
      <c r="H714" s="168">
        <v>0</v>
      </c>
      <c r="I714" s="168">
        <v>0</v>
      </c>
    </row>
    <row r="715" spans="1:9" ht="31.2">
      <c r="A715" s="312">
        <v>669</v>
      </c>
      <c r="B715" s="252" t="s">
        <v>169</v>
      </c>
      <c r="C715" s="38">
        <v>952</v>
      </c>
      <c r="D715" s="38" t="s">
        <v>409</v>
      </c>
      <c r="E715" s="38" t="s">
        <v>170</v>
      </c>
      <c r="F715" s="38"/>
      <c r="G715" s="168">
        <f>G716</f>
        <v>350</v>
      </c>
      <c r="H715" s="168">
        <f aca="true" t="shared" si="329" ref="H715:I715">H716</f>
        <v>350</v>
      </c>
      <c r="I715" s="168">
        <f t="shared" si="329"/>
        <v>350</v>
      </c>
    </row>
    <row r="716" spans="1:9" ht="46.8">
      <c r="A716" s="312">
        <v>670</v>
      </c>
      <c r="B716" s="256" t="s">
        <v>95</v>
      </c>
      <c r="C716" s="38">
        <v>952</v>
      </c>
      <c r="D716" s="38" t="s">
        <v>409</v>
      </c>
      <c r="E716" s="38" t="s">
        <v>170</v>
      </c>
      <c r="F716" s="38">
        <v>600</v>
      </c>
      <c r="G716" s="168">
        <f>G717</f>
        <v>350</v>
      </c>
      <c r="H716" s="168">
        <f aca="true" t="shared" si="330" ref="H716:I716">H717</f>
        <v>350</v>
      </c>
      <c r="I716" s="168">
        <f t="shared" si="330"/>
        <v>350</v>
      </c>
    </row>
    <row r="717" spans="1:9" ht="15">
      <c r="A717" s="312">
        <v>671</v>
      </c>
      <c r="B717" s="256" t="s">
        <v>140</v>
      </c>
      <c r="C717" s="38">
        <v>952</v>
      </c>
      <c r="D717" s="38" t="s">
        <v>409</v>
      </c>
      <c r="E717" s="38" t="s">
        <v>170</v>
      </c>
      <c r="F717" s="38">
        <v>610</v>
      </c>
      <c r="G717" s="168">
        <v>350</v>
      </c>
      <c r="H717" s="168">
        <v>350</v>
      </c>
      <c r="I717" s="168">
        <v>350</v>
      </c>
    </row>
    <row r="718" spans="1:9" ht="46.8">
      <c r="A718" s="312">
        <v>672</v>
      </c>
      <c r="B718" s="252" t="s">
        <v>171</v>
      </c>
      <c r="C718" s="38">
        <v>952</v>
      </c>
      <c r="D718" s="38" t="s">
        <v>409</v>
      </c>
      <c r="E718" s="38" t="s">
        <v>173</v>
      </c>
      <c r="F718" s="38"/>
      <c r="G718" s="168">
        <f>G719</f>
        <v>100</v>
      </c>
      <c r="H718" s="168">
        <f aca="true" t="shared" si="331" ref="H718:I718">H719</f>
        <v>0</v>
      </c>
      <c r="I718" s="168">
        <f t="shared" si="331"/>
        <v>0</v>
      </c>
    </row>
    <row r="719" spans="1:9" ht="46.8">
      <c r="A719" s="312">
        <v>673</v>
      </c>
      <c r="B719" s="256" t="s">
        <v>95</v>
      </c>
      <c r="C719" s="38">
        <v>952</v>
      </c>
      <c r="D719" s="38" t="s">
        <v>409</v>
      </c>
      <c r="E719" s="38" t="s">
        <v>173</v>
      </c>
      <c r="F719" s="38">
        <v>600</v>
      </c>
      <c r="G719" s="168">
        <f>G720</f>
        <v>100</v>
      </c>
      <c r="H719" s="168">
        <f aca="true" t="shared" si="332" ref="H719:I719">H720</f>
        <v>0</v>
      </c>
      <c r="I719" s="168">
        <f t="shared" si="332"/>
        <v>0</v>
      </c>
    </row>
    <row r="720" spans="1:9" ht="15">
      <c r="A720" s="312">
        <v>674</v>
      </c>
      <c r="B720" s="256" t="s">
        <v>140</v>
      </c>
      <c r="C720" s="38">
        <v>952</v>
      </c>
      <c r="D720" s="38" t="s">
        <v>409</v>
      </c>
      <c r="E720" s="38" t="s">
        <v>173</v>
      </c>
      <c r="F720" s="38">
        <v>610</v>
      </c>
      <c r="G720" s="168">
        <v>100</v>
      </c>
      <c r="H720" s="168">
        <v>0</v>
      </c>
      <c r="I720" s="168">
        <v>0</v>
      </c>
    </row>
    <row r="721" spans="1:9" ht="46.8">
      <c r="A721" s="312">
        <v>675</v>
      </c>
      <c r="B721" s="252" t="s">
        <v>171</v>
      </c>
      <c r="C721" s="38">
        <v>952</v>
      </c>
      <c r="D721" s="38" t="s">
        <v>409</v>
      </c>
      <c r="E721" s="38" t="s">
        <v>172</v>
      </c>
      <c r="F721" s="38"/>
      <c r="G721" s="168">
        <f>G722</f>
        <v>50</v>
      </c>
      <c r="H721" s="168">
        <f aca="true" t="shared" si="333" ref="H721:I721">H722</f>
        <v>0</v>
      </c>
      <c r="I721" s="168">
        <f t="shared" si="333"/>
        <v>0</v>
      </c>
    </row>
    <row r="722" spans="1:9" ht="46.8">
      <c r="A722" s="312">
        <v>676</v>
      </c>
      <c r="B722" s="256" t="s">
        <v>95</v>
      </c>
      <c r="C722" s="38">
        <v>952</v>
      </c>
      <c r="D722" s="38" t="s">
        <v>409</v>
      </c>
      <c r="E722" s="38" t="s">
        <v>172</v>
      </c>
      <c r="F722" s="38">
        <v>600</v>
      </c>
      <c r="G722" s="168">
        <f>G723</f>
        <v>50</v>
      </c>
      <c r="H722" s="168">
        <f aca="true" t="shared" si="334" ref="H722:I722">H723</f>
        <v>0</v>
      </c>
      <c r="I722" s="168">
        <f t="shared" si="334"/>
        <v>0</v>
      </c>
    </row>
    <row r="723" spans="1:9" ht="15">
      <c r="A723" s="312">
        <v>677</v>
      </c>
      <c r="B723" s="256" t="s">
        <v>140</v>
      </c>
      <c r="C723" s="38">
        <v>952</v>
      </c>
      <c r="D723" s="38" t="s">
        <v>409</v>
      </c>
      <c r="E723" s="38" t="s">
        <v>172</v>
      </c>
      <c r="F723" s="38">
        <v>610</v>
      </c>
      <c r="G723" s="168">
        <v>50</v>
      </c>
      <c r="H723" s="168">
        <v>0</v>
      </c>
      <c r="I723" s="168">
        <v>0</v>
      </c>
    </row>
    <row r="724" spans="1:9" ht="31.2">
      <c r="A724" s="312">
        <v>678</v>
      </c>
      <c r="B724" s="256" t="s">
        <v>167</v>
      </c>
      <c r="C724" s="38">
        <v>952</v>
      </c>
      <c r="D724" s="38" t="s">
        <v>410</v>
      </c>
      <c r="E724" s="38"/>
      <c r="F724" s="38"/>
      <c r="G724" s="168">
        <f>G725</f>
        <v>14230.600000000002</v>
      </c>
      <c r="H724" s="168">
        <f aca="true" t="shared" si="335" ref="H724:I724">H725</f>
        <v>4794.68</v>
      </c>
      <c r="I724" s="168">
        <f t="shared" si="335"/>
        <v>4794.68</v>
      </c>
    </row>
    <row r="725" spans="1:9" ht="31.2">
      <c r="A725" s="312">
        <v>679</v>
      </c>
      <c r="B725" s="253" t="s">
        <v>354</v>
      </c>
      <c r="C725" s="38">
        <v>952</v>
      </c>
      <c r="D725" s="38" t="s">
        <v>410</v>
      </c>
      <c r="E725" s="38" t="s">
        <v>126</v>
      </c>
      <c r="F725" s="38"/>
      <c r="G725" s="168">
        <f>G726+G737</f>
        <v>14230.600000000002</v>
      </c>
      <c r="H725" s="168">
        <f>H726+H737</f>
        <v>4794.68</v>
      </c>
      <c r="I725" s="168">
        <f>I726+I737</f>
        <v>4794.68</v>
      </c>
    </row>
    <row r="726" spans="1:9" ht="31.2">
      <c r="A726" s="312">
        <v>680</v>
      </c>
      <c r="B726" s="253" t="s">
        <v>136</v>
      </c>
      <c r="C726" s="38">
        <v>952</v>
      </c>
      <c r="D726" s="38" t="s">
        <v>410</v>
      </c>
      <c r="E726" s="38" t="s">
        <v>137</v>
      </c>
      <c r="F726" s="38"/>
      <c r="G726" s="168">
        <f>G727+G734</f>
        <v>14130.600000000002</v>
      </c>
      <c r="H726" s="168">
        <f aca="true" t="shared" si="336" ref="H726:I726">H727+H734</f>
        <v>4135.55</v>
      </c>
      <c r="I726" s="168">
        <f t="shared" si="336"/>
        <v>4135.55</v>
      </c>
    </row>
    <row r="727" spans="1:9" ht="31.2">
      <c r="A727" s="312">
        <v>681</v>
      </c>
      <c r="B727" s="253" t="s">
        <v>168</v>
      </c>
      <c r="C727" s="38">
        <v>952</v>
      </c>
      <c r="D727" s="38" t="s">
        <v>410</v>
      </c>
      <c r="E727" s="38" t="s">
        <v>139</v>
      </c>
      <c r="F727" s="38"/>
      <c r="G727" s="168">
        <f>G728+G730+G732</f>
        <v>4782.63</v>
      </c>
      <c r="H727" s="168">
        <f aca="true" t="shared" si="337" ref="H727:I727">H728+H730+H732</f>
        <v>4135.55</v>
      </c>
      <c r="I727" s="168">
        <f t="shared" si="337"/>
        <v>4135.55</v>
      </c>
    </row>
    <row r="728" spans="1:9" ht="78">
      <c r="A728" s="312">
        <v>682</v>
      </c>
      <c r="B728" s="256" t="s">
        <v>25</v>
      </c>
      <c r="C728" s="38">
        <v>952</v>
      </c>
      <c r="D728" s="38" t="s">
        <v>410</v>
      </c>
      <c r="E728" s="38" t="s">
        <v>139</v>
      </c>
      <c r="F728" s="38">
        <v>100</v>
      </c>
      <c r="G728" s="168">
        <f>G729</f>
        <v>4216.37</v>
      </c>
      <c r="H728" s="168">
        <f aca="true" t="shared" si="338" ref="H728:I728">H729</f>
        <v>3510.29</v>
      </c>
      <c r="I728" s="168">
        <f t="shared" si="338"/>
        <v>3510.29</v>
      </c>
    </row>
    <row r="729" spans="1:12" ht="31.2">
      <c r="A729" s="312">
        <v>683</v>
      </c>
      <c r="B729" s="292" t="s">
        <v>130</v>
      </c>
      <c r="C729" s="38">
        <v>952</v>
      </c>
      <c r="D729" s="38" t="s">
        <v>410</v>
      </c>
      <c r="E729" s="38" t="s">
        <v>139</v>
      </c>
      <c r="F729" s="38">
        <v>110</v>
      </c>
      <c r="G729" s="168">
        <f>3510.29+597.76-269.96+90.5+99+188.78</f>
        <v>4216.37</v>
      </c>
      <c r="H729" s="168">
        <v>3510.29</v>
      </c>
      <c r="I729" s="168">
        <v>3510.29</v>
      </c>
      <c r="J729" s="162">
        <v>99</v>
      </c>
      <c r="L729" s="272">
        <v>188.78</v>
      </c>
    </row>
    <row r="730" spans="1:9" ht="31.2">
      <c r="A730" s="312">
        <v>684</v>
      </c>
      <c r="B730" s="256" t="s">
        <v>32</v>
      </c>
      <c r="C730" s="38">
        <v>952</v>
      </c>
      <c r="D730" s="38" t="s">
        <v>410</v>
      </c>
      <c r="E730" s="38" t="s">
        <v>139</v>
      </c>
      <c r="F730" s="38">
        <v>200</v>
      </c>
      <c r="G730" s="168">
        <f>G731</f>
        <v>564.26</v>
      </c>
      <c r="H730" s="168">
        <f aca="true" t="shared" si="339" ref="H730:I730">H731</f>
        <v>623.26</v>
      </c>
      <c r="I730" s="168">
        <f t="shared" si="339"/>
        <v>623.26</v>
      </c>
    </row>
    <row r="731" spans="1:10" ht="46.8">
      <c r="A731" s="312">
        <v>685</v>
      </c>
      <c r="B731" s="256" t="s">
        <v>33</v>
      </c>
      <c r="C731" s="38">
        <v>952</v>
      </c>
      <c r="D731" s="38" t="s">
        <v>410</v>
      </c>
      <c r="E731" s="38" t="s">
        <v>139</v>
      </c>
      <c r="F731" s="38">
        <v>240</v>
      </c>
      <c r="G731" s="168">
        <f>623.26+40-99</f>
        <v>564.26</v>
      </c>
      <c r="H731" s="168">
        <v>623.26</v>
      </c>
      <c r="I731" s="168">
        <v>623.26</v>
      </c>
      <c r="J731" s="162">
        <v>-99</v>
      </c>
    </row>
    <row r="732" spans="1:9" ht="15">
      <c r="A732" s="312">
        <v>686</v>
      </c>
      <c r="B732" s="256" t="s">
        <v>67</v>
      </c>
      <c r="C732" s="38">
        <v>952</v>
      </c>
      <c r="D732" s="38" t="s">
        <v>410</v>
      </c>
      <c r="E732" s="38" t="s">
        <v>139</v>
      </c>
      <c r="F732" s="38">
        <v>800</v>
      </c>
      <c r="G732" s="168">
        <f>G733</f>
        <v>2</v>
      </c>
      <c r="H732" s="168">
        <f aca="true" t="shared" si="340" ref="H732:I732">H733</f>
        <v>2</v>
      </c>
      <c r="I732" s="168">
        <f t="shared" si="340"/>
        <v>2</v>
      </c>
    </row>
    <row r="733" spans="1:9" ht="15">
      <c r="A733" s="312">
        <v>687</v>
      </c>
      <c r="B733" s="256" t="s">
        <v>221</v>
      </c>
      <c r="C733" s="38">
        <v>952</v>
      </c>
      <c r="D733" s="38" t="s">
        <v>410</v>
      </c>
      <c r="E733" s="38" t="s">
        <v>139</v>
      </c>
      <c r="F733" s="38">
        <v>850</v>
      </c>
      <c r="G733" s="168">
        <v>2</v>
      </c>
      <c r="H733" s="168">
        <v>2</v>
      </c>
      <c r="I733" s="168">
        <v>2</v>
      </c>
    </row>
    <row r="734" spans="1:9" ht="46.8">
      <c r="A734" s="312">
        <v>688</v>
      </c>
      <c r="B734" s="291" t="s">
        <v>448</v>
      </c>
      <c r="C734" s="38">
        <v>952</v>
      </c>
      <c r="D734" s="38" t="s">
        <v>410</v>
      </c>
      <c r="E734" s="38" t="s">
        <v>449</v>
      </c>
      <c r="F734" s="38"/>
      <c r="G734" s="168">
        <f>G735</f>
        <v>9347.970000000003</v>
      </c>
      <c r="H734" s="168">
        <f aca="true" t="shared" si="341" ref="H734:I734">H735</f>
        <v>0</v>
      </c>
      <c r="I734" s="168">
        <f t="shared" si="341"/>
        <v>0</v>
      </c>
    </row>
    <row r="735" spans="1:9" ht="46.8">
      <c r="A735" s="312">
        <v>689</v>
      </c>
      <c r="B735" s="256" t="s">
        <v>95</v>
      </c>
      <c r="C735" s="38">
        <v>952</v>
      </c>
      <c r="D735" s="38" t="s">
        <v>410</v>
      </c>
      <c r="E735" s="38" t="s">
        <v>449</v>
      </c>
      <c r="F735" s="38">
        <v>600</v>
      </c>
      <c r="G735" s="168">
        <f>G736</f>
        <v>9347.970000000003</v>
      </c>
      <c r="H735" s="168">
        <f aca="true" t="shared" si="342" ref="H735:I735">H736</f>
        <v>0</v>
      </c>
      <c r="I735" s="168">
        <f t="shared" si="342"/>
        <v>0</v>
      </c>
    </row>
    <row r="736" spans="1:12" ht="15">
      <c r="A736" s="312">
        <v>690</v>
      </c>
      <c r="B736" s="256" t="s">
        <v>140</v>
      </c>
      <c r="C736" s="38">
        <v>952</v>
      </c>
      <c r="D736" s="38" t="s">
        <v>410</v>
      </c>
      <c r="E736" s="38" t="s">
        <v>449</v>
      </c>
      <c r="F736" s="38">
        <v>610</v>
      </c>
      <c r="G736" s="168">
        <f>8394.94+9000-4000-4000-46.97</f>
        <v>9347.970000000003</v>
      </c>
      <c r="H736" s="168">
        <v>0</v>
      </c>
      <c r="I736" s="168">
        <v>0</v>
      </c>
      <c r="L736" s="272">
        <v>-46.97</v>
      </c>
    </row>
    <row r="737" spans="1:9" ht="31.2">
      <c r="A737" s="312">
        <v>691</v>
      </c>
      <c r="B737" s="253" t="s">
        <v>502</v>
      </c>
      <c r="C737" s="38">
        <v>952</v>
      </c>
      <c r="D737" s="38" t="s">
        <v>410</v>
      </c>
      <c r="E737" s="38" t="s">
        <v>355</v>
      </c>
      <c r="F737" s="38"/>
      <c r="G737" s="168">
        <f>G738</f>
        <v>100</v>
      </c>
      <c r="H737" s="168">
        <f aca="true" t="shared" si="343" ref="H737:I737">H738</f>
        <v>659.13</v>
      </c>
      <c r="I737" s="168">
        <f t="shared" si="343"/>
        <v>659.13</v>
      </c>
    </row>
    <row r="738" spans="1:9" ht="46.8">
      <c r="A738" s="312">
        <v>692</v>
      </c>
      <c r="B738" s="253" t="s">
        <v>357</v>
      </c>
      <c r="C738" s="38">
        <v>952</v>
      </c>
      <c r="D738" s="38" t="s">
        <v>410</v>
      </c>
      <c r="E738" s="38" t="s">
        <v>358</v>
      </c>
      <c r="F738" s="38"/>
      <c r="G738" s="168">
        <f>G739</f>
        <v>100</v>
      </c>
      <c r="H738" s="168">
        <f aca="true" t="shared" si="344" ref="H738:I739">H739</f>
        <v>659.13</v>
      </c>
      <c r="I738" s="168">
        <f t="shared" si="344"/>
        <v>659.13</v>
      </c>
    </row>
    <row r="739" spans="1:9" ht="46.8">
      <c r="A739" s="312">
        <v>693</v>
      </c>
      <c r="B739" s="256" t="s">
        <v>95</v>
      </c>
      <c r="C739" s="38">
        <v>952</v>
      </c>
      <c r="D739" s="38" t="s">
        <v>410</v>
      </c>
      <c r="E739" s="38" t="s">
        <v>358</v>
      </c>
      <c r="F739" s="38">
        <v>600</v>
      </c>
      <c r="G739" s="168">
        <f>G740</f>
        <v>100</v>
      </c>
      <c r="H739" s="168">
        <f t="shared" si="344"/>
        <v>659.13</v>
      </c>
      <c r="I739" s="168">
        <f t="shared" si="344"/>
        <v>659.13</v>
      </c>
    </row>
    <row r="740" spans="1:9" ht="15">
      <c r="A740" s="312">
        <v>694</v>
      </c>
      <c r="B740" s="256" t="s">
        <v>140</v>
      </c>
      <c r="C740" s="38">
        <v>952</v>
      </c>
      <c r="D740" s="38" t="s">
        <v>410</v>
      </c>
      <c r="E740" s="38" t="s">
        <v>358</v>
      </c>
      <c r="F740" s="38">
        <v>610</v>
      </c>
      <c r="G740" s="168">
        <f>659.13-559.13</f>
        <v>100</v>
      </c>
      <c r="H740" s="168">
        <v>659.13</v>
      </c>
      <c r="I740" s="168">
        <v>659.13</v>
      </c>
    </row>
    <row r="741" spans="1:9" ht="15">
      <c r="A741" s="312">
        <v>695</v>
      </c>
      <c r="B741" s="255" t="s">
        <v>479</v>
      </c>
      <c r="C741" s="38">
        <v>952</v>
      </c>
      <c r="D741" s="38" t="s">
        <v>481</v>
      </c>
      <c r="E741" s="38"/>
      <c r="F741" s="38"/>
      <c r="G741" s="168">
        <f aca="true" t="shared" si="345" ref="G741:G746">G742</f>
        <v>200</v>
      </c>
      <c r="H741" s="168">
        <f aca="true" t="shared" si="346" ref="H741:I743">H742</f>
        <v>200</v>
      </c>
      <c r="I741" s="168">
        <f t="shared" si="346"/>
        <v>200</v>
      </c>
    </row>
    <row r="742" spans="1:9" ht="15">
      <c r="A742" s="312">
        <v>696</v>
      </c>
      <c r="B742" s="133" t="s">
        <v>482</v>
      </c>
      <c r="C742" s="38">
        <v>952</v>
      </c>
      <c r="D742" s="38" t="s">
        <v>480</v>
      </c>
      <c r="E742" s="38"/>
      <c r="F742" s="38"/>
      <c r="G742" s="168">
        <f t="shared" si="345"/>
        <v>200</v>
      </c>
      <c r="H742" s="168">
        <f t="shared" si="346"/>
        <v>200</v>
      </c>
      <c r="I742" s="168">
        <f t="shared" si="346"/>
        <v>200</v>
      </c>
    </row>
    <row r="743" spans="1:9" ht="31.2">
      <c r="A743" s="312">
        <v>697</v>
      </c>
      <c r="B743" s="253" t="s">
        <v>155</v>
      </c>
      <c r="C743" s="38">
        <v>952</v>
      </c>
      <c r="D743" s="38" t="s">
        <v>480</v>
      </c>
      <c r="E743" s="162" t="s">
        <v>157</v>
      </c>
      <c r="F743" s="38"/>
      <c r="G743" s="168">
        <f t="shared" si="345"/>
        <v>200</v>
      </c>
      <c r="H743" s="168">
        <f t="shared" si="346"/>
        <v>200</v>
      </c>
      <c r="I743" s="168">
        <f t="shared" si="346"/>
        <v>200</v>
      </c>
    </row>
    <row r="744" spans="1:9" ht="31.2">
      <c r="A744" s="312">
        <v>698</v>
      </c>
      <c r="B744" s="255" t="s">
        <v>485</v>
      </c>
      <c r="C744" s="38">
        <v>952</v>
      </c>
      <c r="D744" s="38" t="s">
        <v>480</v>
      </c>
      <c r="E744" s="38" t="s">
        <v>483</v>
      </c>
      <c r="F744" s="38"/>
      <c r="G744" s="168">
        <f t="shared" si="345"/>
        <v>200</v>
      </c>
      <c r="H744" s="168">
        <f aca="true" t="shared" si="347" ref="H744:I744">H745</f>
        <v>200</v>
      </c>
      <c r="I744" s="168">
        <f t="shared" si="347"/>
        <v>200</v>
      </c>
    </row>
    <row r="745" spans="1:9" ht="31.2">
      <c r="A745" s="312">
        <v>699</v>
      </c>
      <c r="B745" s="255" t="s">
        <v>486</v>
      </c>
      <c r="C745" s="38">
        <v>952</v>
      </c>
      <c r="D745" s="38" t="s">
        <v>480</v>
      </c>
      <c r="E745" s="38" t="s">
        <v>484</v>
      </c>
      <c r="F745" s="38"/>
      <c r="G745" s="168">
        <f t="shared" si="345"/>
        <v>200</v>
      </c>
      <c r="H745" s="168">
        <f aca="true" t="shared" si="348" ref="H745:I745">H746</f>
        <v>200</v>
      </c>
      <c r="I745" s="168">
        <f t="shared" si="348"/>
        <v>200</v>
      </c>
    </row>
    <row r="746" spans="1:9" ht="46.8">
      <c r="A746" s="312">
        <v>700</v>
      </c>
      <c r="B746" s="256" t="s">
        <v>95</v>
      </c>
      <c r="C746" s="38">
        <v>952</v>
      </c>
      <c r="D746" s="38" t="s">
        <v>480</v>
      </c>
      <c r="E746" s="38" t="s">
        <v>484</v>
      </c>
      <c r="F746" s="38">
        <v>600</v>
      </c>
      <c r="G746" s="168">
        <f t="shared" si="345"/>
        <v>200</v>
      </c>
      <c r="H746" s="168">
        <f aca="true" t="shared" si="349" ref="H746:I746">H747</f>
        <v>200</v>
      </c>
      <c r="I746" s="168">
        <f t="shared" si="349"/>
        <v>200</v>
      </c>
    </row>
    <row r="747" spans="1:9" ht="15">
      <c r="A747" s="312">
        <v>701</v>
      </c>
      <c r="B747" s="256" t="s">
        <v>140</v>
      </c>
      <c r="C747" s="38">
        <v>952</v>
      </c>
      <c r="D747" s="38" t="s">
        <v>480</v>
      </c>
      <c r="E747" s="38" t="s">
        <v>484</v>
      </c>
      <c r="F747" s="38">
        <v>610</v>
      </c>
      <c r="G747" s="168">
        <v>200</v>
      </c>
      <c r="H747" s="168">
        <v>200</v>
      </c>
      <c r="I747" s="168">
        <v>200</v>
      </c>
    </row>
    <row r="748" spans="1:9" ht="46.8">
      <c r="A748" s="312">
        <v>702</v>
      </c>
      <c r="B748" s="306" t="s">
        <v>446</v>
      </c>
      <c r="C748" s="38"/>
      <c r="D748" s="38"/>
      <c r="E748" s="38"/>
      <c r="F748" s="38"/>
      <c r="G748" s="168">
        <f>G749</f>
        <v>2485.8</v>
      </c>
      <c r="H748" s="168">
        <f aca="true" t="shared" si="350" ref="H748:I748">H749</f>
        <v>2461.15</v>
      </c>
      <c r="I748" s="168">
        <f t="shared" si="350"/>
        <v>2461.15</v>
      </c>
    </row>
    <row r="749" spans="1:9" ht="31.2">
      <c r="A749" s="312">
        <v>703</v>
      </c>
      <c r="B749" s="253" t="s">
        <v>354</v>
      </c>
      <c r="C749" s="38">
        <v>952</v>
      </c>
      <c r="D749" s="38" t="s">
        <v>410</v>
      </c>
      <c r="E749" s="38" t="s">
        <v>126</v>
      </c>
      <c r="F749" s="38"/>
      <c r="G749" s="168">
        <f>G750</f>
        <v>2485.8</v>
      </c>
      <c r="H749" s="168">
        <f aca="true" t="shared" si="351" ref="H749:I750">H750</f>
        <v>2461.15</v>
      </c>
      <c r="I749" s="168">
        <f t="shared" si="351"/>
        <v>2461.15</v>
      </c>
    </row>
    <row r="750" spans="1:9" ht="31.2">
      <c r="A750" s="312">
        <v>704</v>
      </c>
      <c r="B750" s="253" t="s">
        <v>136</v>
      </c>
      <c r="C750" s="38">
        <v>952</v>
      </c>
      <c r="D750" s="38" t="s">
        <v>410</v>
      </c>
      <c r="E750" s="38" t="s">
        <v>137</v>
      </c>
      <c r="F750" s="38"/>
      <c r="G750" s="168">
        <f>G751</f>
        <v>2485.8</v>
      </c>
      <c r="H750" s="168">
        <f t="shared" si="351"/>
        <v>2461.15</v>
      </c>
      <c r="I750" s="168">
        <f t="shared" si="351"/>
        <v>2461.15</v>
      </c>
    </row>
    <row r="751" spans="1:9" ht="31.2">
      <c r="A751" s="312">
        <v>705</v>
      </c>
      <c r="B751" s="274" t="s">
        <v>458</v>
      </c>
      <c r="C751" s="38">
        <v>952</v>
      </c>
      <c r="D751" s="38" t="s">
        <v>410</v>
      </c>
      <c r="E751" s="38" t="s">
        <v>447</v>
      </c>
      <c r="F751" s="38"/>
      <c r="G751" s="168">
        <f>G752+G754+G756</f>
        <v>2485.8</v>
      </c>
      <c r="H751" s="168">
        <f>H752+H754</f>
        <v>2461.15</v>
      </c>
      <c r="I751" s="168">
        <f>I752+I754</f>
        <v>2461.15</v>
      </c>
    </row>
    <row r="752" spans="1:9" ht="78">
      <c r="A752" s="312">
        <v>706</v>
      </c>
      <c r="B752" s="256" t="s">
        <v>25</v>
      </c>
      <c r="C752" s="38">
        <v>952</v>
      </c>
      <c r="D752" s="38" t="s">
        <v>410</v>
      </c>
      <c r="E752" s="38" t="s">
        <v>447</v>
      </c>
      <c r="F752" s="38">
        <v>100</v>
      </c>
      <c r="G752" s="168">
        <f>G753</f>
        <v>2270.36</v>
      </c>
      <c r="H752" s="168">
        <f aca="true" t="shared" si="352" ref="H752:I752">H753</f>
        <v>2245.85</v>
      </c>
      <c r="I752" s="168">
        <f t="shared" si="352"/>
        <v>2245.85</v>
      </c>
    </row>
    <row r="753" spans="1:12" ht="31.2">
      <c r="A753" s="312">
        <v>707</v>
      </c>
      <c r="B753" s="256" t="s">
        <v>130</v>
      </c>
      <c r="C753" s="38">
        <v>952</v>
      </c>
      <c r="D753" s="38" t="s">
        <v>410</v>
      </c>
      <c r="E753" s="38" t="s">
        <v>447</v>
      </c>
      <c r="F753" s="38">
        <v>110</v>
      </c>
      <c r="G753" s="168">
        <f>2245.85-0.5+40-14.99</f>
        <v>2270.36</v>
      </c>
      <c r="H753" s="168">
        <v>2245.85</v>
      </c>
      <c r="I753" s="168">
        <v>2245.85</v>
      </c>
      <c r="L753" s="272">
        <v>-14.99</v>
      </c>
    </row>
    <row r="754" spans="1:9" ht="31.2">
      <c r="A754" s="312">
        <v>708</v>
      </c>
      <c r="B754" s="256" t="s">
        <v>32</v>
      </c>
      <c r="C754" s="38">
        <v>952</v>
      </c>
      <c r="D754" s="38" t="s">
        <v>410</v>
      </c>
      <c r="E754" s="38" t="s">
        <v>447</v>
      </c>
      <c r="F754" s="38">
        <v>200</v>
      </c>
      <c r="G754" s="168">
        <f>G755</f>
        <v>215.3</v>
      </c>
      <c r="H754" s="168">
        <f aca="true" t="shared" si="353" ref="H754:I754">H755</f>
        <v>215.3</v>
      </c>
      <c r="I754" s="168">
        <f t="shared" si="353"/>
        <v>215.3</v>
      </c>
    </row>
    <row r="755" spans="1:9" ht="46.8">
      <c r="A755" s="312">
        <v>709</v>
      </c>
      <c r="B755" s="256" t="s">
        <v>33</v>
      </c>
      <c r="C755" s="38">
        <v>952</v>
      </c>
      <c r="D755" s="38" t="s">
        <v>410</v>
      </c>
      <c r="E755" s="38" t="s">
        <v>447</v>
      </c>
      <c r="F755" s="38">
        <v>240</v>
      </c>
      <c r="G755" s="168">
        <v>215.3</v>
      </c>
      <c r="H755" s="168">
        <v>215.3</v>
      </c>
      <c r="I755" s="168">
        <v>215.3</v>
      </c>
    </row>
    <row r="756" spans="1:9" ht="15">
      <c r="A756" s="312">
        <v>710</v>
      </c>
      <c r="B756" s="256" t="s">
        <v>67</v>
      </c>
      <c r="C756" s="38">
        <v>952</v>
      </c>
      <c r="D756" s="38" t="s">
        <v>410</v>
      </c>
      <c r="E756" s="38" t="s">
        <v>447</v>
      </c>
      <c r="F756" s="38">
        <v>800</v>
      </c>
      <c r="G756" s="168">
        <f>G757</f>
        <v>0.14</v>
      </c>
      <c r="H756" s="168">
        <f aca="true" t="shared" si="354" ref="H756:I756">H757</f>
        <v>0</v>
      </c>
      <c r="I756" s="168">
        <f t="shared" si="354"/>
        <v>0</v>
      </c>
    </row>
    <row r="757" spans="1:12" ht="15">
      <c r="A757" s="312">
        <v>711</v>
      </c>
      <c r="B757" s="256" t="s">
        <v>221</v>
      </c>
      <c r="C757" s="38">
        <v>952</v>
      </c>
      <c r="D757" s="38" t="s">
        <v>410</v>
      </c>
      <c r="E757" s="38" t="s">
        <v>447</v>
      </c>
      <c r="F757" s="38">
        <v>850</v>
      </c>
      <c r="G757" s="168">
        <f>0.5-0.36</f>
        <v>0.14</v>
      </c>
      <c r="H757" s="168">
        <v>0</v>
      </c>
      <c r="I757" s="168">
        <v>0</v>
      </c>
      <c r="L757" s="272">
        <v>-0.36</v>
      </c>
    </row>
    <row r="758" spans="1:9" ht="31.2">
      <c r="A758" s="312">
        <v>712</v>
      </c>
      <c r="B758" s="260" t="s">
        <v>174</v>
      </c>
      <c r="C758" s="261">
        <v>953</v>
      </c>
      <c r="D758" s="261"/>
      <c r="E758" s="261"/>
      <c r="F758" s="261"/>
      <c r="G758" s="262">
        <f>G759</f>
        <v>60401.215</v>
      </c>
      <c r="H758" s="262">
        <f aca="true" t="shared" si="355" ref="H758:I758">H759</f>
        <v>59109.6</v>
      </c>
      <c r="I758" s="262">
        <f t="shared" si="355"/>
        <v>61109.6</v>
      </c>
    </row>
    <row r="759" spans="1:9" ht="15">
      <c r="A759" s="312">
        <v>713</v>
      </c>
      <c r="B759" s="254" t="s">
        <v>117</v>
      </c>
      <c r="C759" s="38">
        <v>953</v>
      </c>
      <c r="D759" s="38" t="s">
        <v>118</v>
      </c>
      <c r="E759" s="38"/>
      <c r="F759" s="38"/>
      <c r="G759" s="168">
        <f>G760+G768+G777+G785</f>
        <v>60401.215</v>
      </c>
      <c r="H759" s="168">
        <f aca="true" t="shared" si="356" ref="H759:I759">H760+H768+H777+H785</f>
        <v>59109.6</v>
      </c>
      <c r="I759" s="168">
        <f t="shared" si="356"/>
        <v>61109.6</v>
      </c>
    </row>
    <row r="760" spans="1:9" ht="15">
      <c r="A760" s="312">
        <v>714</v>
      </c>
      <c r="B760" s="254" t="s">
        <v>197</v>
      </c>
      <c r="C760" s="38">
        <v>953</v>
      </c>
      <c r="D760" s="38" t="s">
        <v>198</v>
      </c>
      <c r="E760" s="38"/>
      <c r="F760" s="38"/>
      <c r="G760" s="168">
        <f aca="true" t="shared" si="357" ref="G760:G766">G761</f>
        <v>420.93</v>
      </c>
      <c r="H760" s="168">
        <f aca="true" t="shared" si="358" ref="H760:I762">H761</f>
        <v>490</v>
      </c>
      <c r="I760" s="168">
        <f t="shared" si="358"/>
        <v>490</v>
      </c>
    </row>
    <row r="761" spans="1:9" ht="46.8">
      <c r="A761" s="312">
        <v>715</v>
      </c>
      <c r="B761" s="253" t="s">
        <v>199</v>
      </c>
      <c r="C761" s="38">
        <v>953</v>
      </c>
      <c r="D761" s="38" t="s">
        <v>198</v>
      </c>
      <c r="E761" s="38" t="s">
        <v>201</v>
      </c>
      <c r="F761" s="38"/>
      <c r="G761" s="168">
        <f t="shared" si="357"/>
        <v>420.93</v>
      </c>
      <c r="H761" s="168">
        <f t="shared" si="358"/>
        <v>490</v>
      </c>
      <c r="I761" s="168">
        <f t="shared" si="358"/>
        <v>490</v>
      </c>
    </row>
    <row r="762" spans="1:9" ht="31.2">
      <c r="A762" s="312">
        <v>716</v>
      </c>
      <c r="B762" s="252" t="s">
        <v>200</v>
      </c>
      <c r="C762" s="38">
        <v>953</v>
      </c>
      <c r="D762" s="38" t="s">
        <v>198</v>
      </c>
      <c r="E762" s="38" t="s">
        <v>202</v>
      </c>
      <c r="F762" s="38"/>
      <c r="G762" s="168">
        <f t="shared" si="357"/>
        <v>420.93</v>
      </c>
      <c r="H762" s="168">
        <f t="shared" si="358"/>
        <v>490</v>
      </c>
      <c r="I762" s="168">
        <f t="shared" si="358"/>
        <v>490</v>
      </c>
    </row>
    <row r="763" spans="1:9" ht="62.4">
      <c r="A763" s="312">
        <v>717</v>
      </c>
      <c r="B763" s="274" t="s">
        <v>203</v>
      </c>
      <c r="C763" s="38">
        <v>953</v>
      </c>
      <c r="D763" s="38" t="s">
        <v>198</v>
      </c>
      <c r="E763" s="38" t="s">
        <v>204</v>
      </c>
      <c r="F763" s="38"/>
      <c r="G763" s="168">
        <f>G766+G764</f>
        <v>420.93</v>
      </c>
      <c r="H763" s="168">
        <f aca="true" t="shared" si="359" ref="H763:I763">H766+H764</f>
        <v>490</v>
      </c>
      <c r="I763" s="168">
        <f t="shared" si="359"/>
        <v>490</v>
      </c>
    </row>
    <row r="764" spans="1:9" ht="31.2">
      <c r="A764" s="312">
        <v>718</v>
      </c>
      <c r="B764" s="256" t="s">
        <v>32</v>
      </c>
      <c r="C764" s="38">
        <v>953</v>
      </c>
      <c r="D764" s="38" t="s">
        <v>198</v>
      </c>
      <c r="E764" s="38" t="s">
        <v>204</v>
      </c>
      <c r="F764" s="38">
        <v>200</v>
      </c>
      <c r="G764" s="168">
        <f>G765</f>
        <v>2.4000000000000004</v>
      </c>
      <c r="H764" s="168">
        <f aca="true" t="shared" si="360" ref="H764:I764">H765</f>
        <v>4.9</v>
      </c>
      <c r="I764" s="168">
        <f t="shared" si="360"/>
        <v>4.9</v>
      </c>
    </row>
    <row r="765" spans="1:12" ht="46.8">
      <c r="A765" s="312">
        <v>719</v>
      </c>
      <c r="B765" s="256" t="s">
        <v>33</v>
      </c>
      <c r="C765" s="38">
        <v>953</v>
      </c>
      <c r="D765" s="38" t="s">
        <v>198</v>
      </c>
      <c r="E765" s="38" t="s">
        <v>204</v>
      </c>
      <c r="F765" s="38">
        <v>240</v>
      </c>
      <c r="G765" s="168">
        <f>4.9-2.5</f>
        <v>2.4000000000000004</v>
      </c>
      <c r="H765" s="168">
        <v>4.9</v>
      </c>
      <c r="I765" s="168">
        <v>4.9</v>
      </c>
      <c r="L765" s="272">
        <v>-2.5</v>
      </c>
    </row>
    <row r="766" spans="1:9" ht="31.2">
      <c r="A766" s="312">
        <v>720</v>
      </c>
      <c r="B766" s="256" t="s">
        <v>205</v>
      </c>
      <c r="C766" s="38">
        <v>953</v>
      </c>
      <c r="D766" s="38" t="s">
        <v>198</v>
      </c>
      <c r="E766" s="38" t="s">
        <v>204</v>
      </c>
      <c r="F766" s="38">
        <v>300</v>
      </c>
      <c r="G766" s="168">
        <f t="shared" si="357"/>
        <v>418.53000000000003</v>
      </c>
      <c r="H766" s="168">
        <f aca="true" t="shared" si="361" ref="H766:I766">H767</f>
        <v>485.1</v>
      </c>
      <c r="I766" s="168">
        <f t="shared" si="361"/>
        <v>485.1</v>
      </c>
    </row>
    <row r="767" spans="1:12" ht="31.2">
      <c r="A767" s="312">
        <v>721</v>
      </c>
      <c r="B767" s="256" t="s">
        <v>206</v>
      </c>
      <c r="C767" s="38">
        <v>953</v>
      </c>
      <c r="D767" s="38" t="s">
        <v>198</v>
      </c>
      <c r="E767" s="38" t="s">
        <v>204</v>
      </c>
      <c r="F767" s="38">
        <v>310</v>
      </c>
      <c r="G767" s="168">
        <f>485.1-50-16.57</f>
        <v>418.53000000000003</v>
      </c>
      <c r="H767" s="168">
        <v>485.1</v>
      </c>
      <c r="I767" s="168">
        <v>485.1</v>
      </c>
      <c r="L767" s="272">
        <v>-16.57</v>
      </c>
    </row>
    <row r="768" spans="1:9" ht="15">
      <c r="A768" s="312">
        <v>722</v>
      </c>
      <c r="B768" s="256" t="s">
        <v>207</v>
      </c>
      <c r="C768" s="38">
        <v>953</v>
      </c>
      <c r="D768" s="38" t="s">
        <v>208</v>
      </c>
      <c r="E768" s="38"/>
      <c r="F768" s="38"/>
      <c r="G768" s="168">
        <f>G769</f>
        <v>48748.479999999996</v>
      </c>
      <c r="H768" s="168">
        <f aca="true" t="shared" si="362" ref="H768:I768">H769</f>
        <v>43465.5</v>
      </c>
      <c r="I768" s="168">
        <f t="shared" si="362"/>
        <v>43465.5</v>
      </c>
    </row>
    <row r="769" spans="1:9" ht="46.8">
      <c r="A769" s="312">
        <v>723</v>
      </c>
      <c r="B769" s="253" t="s">
        <v>199</v>
      </c>
      <c r="C769" s="38">
        <v>953</v>
      </c>
      <c r="D769" s="38" t="s">
        <v>208</v>
      </c>
      <c r="E769" s="38" t="s">
        <v>201</v>
      </c>
      <c r="F769" s="38"/>
      <c r="G769" s="168">
        <f>G770</f>
        <v>48748.479999999996</v>
      </c>
      <c r="H769" s="168">
        <f aca="true" t="shared" si="363" ref="H769:I769">H770</f>
        <v>43465.5</v>
      </c>
      <c r="I769" s="168">
        <f t="shared" si="363"/>
        <v>43465.5</v>
      </c>
    </row>
    <row r="770" spans="1:9" ht="31.2">
      <c r="A770" s="312">
        <v>724</v>
      </c>
      <c r="B770" s="253" t="s">
        <v>209</v>
      </c>
      <c r="C770" s="38">
        <v>953</v>
      </c>
      <c r="D770" s="38" t="s">
        <v>208</v>
      </c>
      <c r="E770" s="38" t="s">
        <v>210</v>
      </c>
      <c r="F770" s="38"/>
      <c r="G770" s="168">
        <f>G771+G775</f>
        <v>48748.479999999996</v>
      </c>
      <c r="H770" s="168">
        <f>H771+H775</f>
        <v>43465.5</v>
      </c>
      <c r="I770" s="168">
        <f>I771+I775</f>
        <v>43465.5</v>
      </c>
    </row>
    <row r="771" spans="1:9" ht="93.6">
      <c r="A771" s="312">
        <v>725</v>
      </c>
      <c r="B771" s="274" t="s">
        <v>211</v>
      </c>
      <c r="C771" s="38">
        <v>953</v>
      </c>
      <c r="D771" s="38" t="s">
        <v>208</v>
      </c>
      <c r="E771" s="38" t="s">
        <v>212</v>
      </c>
      <c r="F771" s="38"/>
      <c r="G771" s="168">
        <f>G772</f>
        <v>48724.74</v>
      </c>
      <c r="H771" s="168">
        <f aca="true" t="shared" si="364" ref="H771:I771">H772</f>
        <v>43441.5</v>
      </c>
      <c r="I771" s="168">
        <f t="shared" si="364"/>
        <v>43441.5</v>
      </c>
    </row>
    <row r="772" spans="1:9" ht="46.8">
      <c r="A772" s="312">
        <v>726</v>
      </c>
      <c r="B772" s="256" t="s">
        <v>95</v>
      </c>
      <c r="C772" s="38">
        <v>953</v>
      </c>
      <c r="D772" s="38" t="s">
        <v>208</v>
      </c>
      <c r="E772" s="38" t="s">
        <v>212</v>
      </c>
      <c r="F772" s="38">
        <v>600</v>
      </c>
      <c r="G772" s="168">
        <f>G773</f>
        <v>48724.74</v>
      </c>
      <c r="H772" s="168">
        <f aca="true" t="shared" si="365" ref="H772:I772">H773</f>
        <v>43441.5</v>
      </c>
      <c r="I772" s="168">
        <f t="shared" si="365"/>
        <v>43441.5</v>
      </c>
    </row>
    <row r="773" spans="1:11" ht="15">
      <c r="A773" s="312">
        <v>727</v>
      </c>
      <c r="B773" s="256" t="s">
        <v>140</v>
      </c>
      <c r="C773" s="38">
        <v>953</v>
      </c>
      <c r="D773" s="38" t="s">
        <v>208</v>
      </c>
      <c r="E773" s="38" t="s">
        <v>212</v>
      </c>
      <c r="F773" s="38">
        <v>610</v>
      </c>
      <c r="G773" s="168">
        <f>43441.5+4516.7+766.54</f>
        <v>48724.74</v>
      </c>
      <c r="H773" s="168">
        <v>43441.5</v>
      </c>
      <c r="I773" s="168">
        <v>43441.5</v>
      </c>
      <c r="K773" s="237">
        <v>766.54</v>
      </c>
    </row>
    <row r="774" spans="1:9" ht="31.2">
      <c r="A774" s="312">
        <v>728</v>
      </c>
      <c r="B774" s="277" t="s">
        <v>229</v>
      </c>
      <c r="C774" s="38">
        <v>953</v>
      </c>
      <c r="D774" s="38" t="s">
        <v>208</v>
      </c>
      <c r="E774" s="38" t="s">
        <v>230</v>
      </c>
      <c r="F774" s="38"/>
      <c r="G774" s="168">
        <f>G775</f>
        <v>23.74</v>
      </c>
      <c r="H774" s="168">
        <f aca="true" t="shared" si="366" ref="H774:I774">H775</f>
        <v>24</v>
      </c>
      <c r="I774" s="168">
        <f t="shared" si="366"/>
        <v>24</v>
      </c>
    </row>
    <row r="775" spans="1:9" ht="46.8">
      <c r="A775" s="312">
        <v>729</v>
      </c>
      <c r="B775" s="256" t="s">
        <v>95</v>
      </c>
      <c r="C775" s="38">
        <v>953</v>
      </c>
      <c r="D775" s="38" t="s">
        <v>208</v>
      </c>
      <c r="E775" s="38" t="s">
        <v>230</v>
      </c>
      <c r="F775" s="38">
        <v>600</v>
      </c>
      <c r="G775" s="168">
        <f>G776</f>
        <v>23.74</v>
      </c>
      <c r="H775" s="168">
        <f aca="true" t="shared" si="367" ref="H775:I775">H776</f>
        <v>24</v>
      </c>
      <c r="I775" s="168">
        <f t="shared" si="367"/>
        <v>24</v>
      </c>
    </row>
    <row r="776" spans="1:12" ht="15">
      <c r="A776" s="312">
        <v>730</v>
      </c>
      <c r="B776" s="256" t="s">
        <v>140</v>
      </c>
      <c r="C776" s="38">
        <v>953</v>
      </c>
      <c r="D776" s="38" t="s">
        <v>208</v>
      </c>
      <c r="E776" s="38" t="s">
        <v>230</v>
      </c>
      <c r="F776" s="38">
        <v>610</v>
      </c>
      <c r="G776" s="168">
        <f>24-0.26</f>
        <v>23.74</v>
      </c>
      <c r="H776" s="168">
        <v>24</v>
      </c>
      <c r="I776" s="168">
        <v>24</v>
      </c>
      <c r="L776" s="272">
        <v>-0.26</v>
      </c>
    </row>
    <row r="777" spans="1:9" ht="15">
      <c r="A777" s="312">
        <v>731</v>
      </c>
      <c r="B777" s="256" t="s">
        <v>213</v>
      </c>
      <c r="C777" s="38">
        <v>953</v>
      </c>
      <c r="D777" s="38" t="s">
        <v>214</v>
      </c>
      <c r="E777" s="38"/>
      <c r="F777" s="38"/>
      <c r="G777" s="168">
        <f>G778</f>
        <v>168.6</v>
      </c>
      <c r="H777" s="168">
        <f aca="true" t="shared" si="368" ref="H777:I779">H778</f>
        <v>168.6</v>
      </c>
      <c r="I777" s="168">
        <f t="shared" si="368"/>
        <v>168.6</v>
      </c>
    </row>
    <row r="778" spans="1:9" ht="46.8">
      <c r="A778" s="312">
        <v>732</v>
      </c>
      <c r="B778" s="190" t="s">
        <v>199</v>
      </c>
      <c r="C778" s="38">
        <v>953</v>
      </c>
      <c r="D778" s="38" t="s">
        <v>214</v>
      </c>
      <c r="E778" s="38" t="s">
        <v>201</v>
      </c>
      <c r="F778" s="38"/>
      <c r="G778" s="168">
        <f>G779</f>
        <v>168.6</v>
      </c>
      <c r="H778" s="168">
        <f t="shared" si="368"/>
        <v>168.6</v>
      </c>
      <c r="I778" s="168">
        <f t="shared" si="368"/>
        <v>168.6</v>
      </c>
    </row>
    <row r="779" spans="1:9" ht="31.2">
      <c r="A779" s="312">
        <v>733</v>
      </c>
      <c r="B779" s="252" t="s">
        <v>215</v>
      </c>
      <c r="C779" s="38">
        <v>953</v>
      </c>
      <c r="D779" s="38" t="s">
        <v>214</v>
      </c>
      <c r="E779" s="38" t="s">
        <v>216</v>
      </c>
      <c r="F779" s="38"/>
      <c r="G779" s="168">
        <f>G780</f>
        <v>168.6</v>
      </c>
      <c r="H779" s="168">
        <f t="shared" si="368"/>
        <v>168.6</v>
      </c>
      <c r="I779" s="168">
        <f t="shared" si="368"/>
        <v>168.6</v>
      </c>
    </row>
    <row r="780" spans="1:9" ht="93.6">
      <c r="A780" s="312">
        <v>734</v>
      </c>
      <c r="B780" s="252" t="s">
        <v>217</v>
      </c>
      <c r="C780" s="38">
        <v>953</v>
      </c>
      <c r="D780" s="38" t="s">
        <v>214</v>
      </c>
      <c r="E780" s="38" t="s">
        <v>450</v>
      </c>
      <c r="F780" s="38"/>
      <c r="G780" s="168">
        <f>G781+G783</f>
        <v>168.6</v>
      </c>
      <c r="H780" s="168">
        <f aca="true" t="shared" si="369" ref="H780:I780">H781+H783</f>
        <v>168.6</v>
      </c>
      <c r="I780" s="168">
        <f t="shared" si="369"/>
        <v>168.6</v>
      </c>
    </row>
    <row r="781" spans="1:9" ht="78">
      <c r="A781" s="312">
        <v>735</v>
      </c>
      <c r="B781" s="256" t="s">
        <v>25</v>
      </c>
      <c r="C781" s="38">
        <v>953</v>
      </c>
      <c r="D781" s="38" t="s">
        <v>214</v>
      </c>
      <c r="E781" s="38" t="s">
        <v>450</v>
      </c>
      <c r="F781" s="38">
        <v>100</v>
      </c>
      <c r="G781" s="168">
        <f>G782</f>
        <v>20.82</v>
      </c>
      <c r="H781" s="168">
        <f aca="true" t="shared" si="370" ref="H781:I781">H782</f>
        <v>20.82</v>
      </c>
      <c r="I781" s="168">
        <f t="shared" si="370"/>
        <v>20.82</v>
      </c>
    </row>
    <row r="782" spans="1:9" ht="31.2">
      <c r="A782" s="312">
        <v>736</v>
      </c>
      <c r="B782" s="256" t="s">
        <v>26</v>
      </c>
      <c r="C782" s="38">
        <v>953</v>
      </c>
      <c r="D782" s="38" t="s">
        <v>214</v>
      </c>
      <c r="E782" s="38" t="s">
        <v>450</v>
      </c>
      <c r="F782" s="38">
        <v>120</v>
      </c>
      <c r="G782" s="168">
        <v>20.82</v>
      </c>
      <c r="H782" s="168">
        <v>20.82</v>
      </c>
      <c r="I782" s="168">
        <v>20.82</v>
      </c>
    </row>
    <row r="783" spans="1:9" ht="31.2">
      <c r="A783" s="312">
        <v>737</v>
      </c>
      <c r="B783" s="256" t="s">
        <v>32</v>
      </c>
      <c r="C783" s="38">
        <v>953</v>
      </c>
      <c r="D783" s="38" t="s">
        <v>214</v>
      </c>
      <c r="E783" s="38" t="s">
        <v>450</v>
      </c>
      <c r="F783" s="38">
        <v>200</v>
      </c>
      <c r="G783" s="168">
        <f>G784</f>
        <v>147.78</v>
      </c>
      <c r="H783" s="168">
        <f aca="true" t="shared" si="371" ref="H783:I783">H784</f>
        <v>147.78</v>
      </c>
      <c r="I783" s="168">
        <f t="shared" si="371"/>
        <v>147.78</v>
      </c>
    </row>
    <row r="784" spans="1:9" ht="46.8">
      <c r="A784" s="312">
        <v>738</v>
      </c>
      <c r="B784" s="256" t="s">
        <v>33</v>
      </c>
      <c r="C784" s="38">
        <v>953</v>
      </c>
      <c r="D784" s="38" t="s">
        <v>214</v>
      </c>
      <c r="E784" s="38" t="s">
        <v>450</v>
      </c>
      <c r="F784" s="38">
        <v>240</v>
      </c>
      <c r="G784" s="168">
        <v>147.78</v>
      </c>
      <c r="H784" s="168">
        <v>147.78</v>
      </c>
      <c r="I784" s="168">
        <v>147.78</v>
      </c>
    </row>
    <row r="785" spans="1:9" ht="15">
      <c r="A785" s="312">
        <v>739</v>
      </c>
      <c r="B785" s="190" t="s">
        <v>218</v>
      </c>
      <c r="C785" s="38">
        <v>953</v>
      </c>
      <c r="D785" s="38" t="s">
        <v>411</v>
      </c>
      <c r="E785" s="38"/>
      <c r="F785" s="38"/>
      <c r="G785" s="168">
        <f>G786</f>
        <v>11063.205</v>
      </c>
      <c r="H785" s="168">
        <f aca="true" t="shared" si="372" ref="H785:I785">H786</f>
        <v>14985.5</v>
      </c>
      <c r="I785" s="168">
        <f t="shared" si="372"/>
        <v>16985.5</v>
      </c>
    </row>
    <row r="786" spans="1:9" ht="46.8">
      <c r="A786" s="312">
        <v>740</v>
      </c>
      <c r="B786" s="190" t="s">
        <v>199</v>
      </c>
      <c r="C786" s="38">
        <v>953</v>
      </c>
      <c r="D786" s="38" t="s">
        <v>411</v>
      </c>
      <c r="E786" s="38" t="s">
        <v>201</v>
      </c>
      <c r="F786" s="38"/>
      <c r="G786" s="168">
        <f>G787+G799+G806</f>
        <v>11063.205</v>
      </c>
      <c r="H786" s="168">
        <f aca="true" t="shared" si="373" ref="H786:I786">H787+H799+H806</f>
        <v>14985.5</v>
      </c>
      <c r="I786" s="168">
        <f t="shared" si="373"/>
        <v>16985.5</v>
      </c>
    </row>
    <row r="787" spans="1:9" ht="46.8">
      <c r="A787" s="312">
        <v>741</v>
      </c>
      <c r="B787" s="253" t="s">
        <v>224</v>
      </c>
      <c r="C787" s="38">
        <v>953</v>
      </c>
      <c r="D787" s="38" t="s">
        <v>411</v>
      </c>
      <c r="E787" s="38" t="s">
        <v>225</v>
      </c>
      <c r="F787" s="38"/>
      <c r="G787" s="168">
        <f>G788+G793</f>
        <v>1844.21</v>
      </c>
      <c r="H787" s="168">
        <f>H788+H793</f>
        <v>1354.8</v>
      </c>
      <c r="I787" s="168">
        <f>I788+I793</f>
        <v>1354.8</v>
      </c>
    </row>
    <row r="788" spans="1:9" ht="62.4">
      <c r="A788" s="312">
        <v>742</v>
      </c>
      <c r="B788" s="277" t="s">
        <v>333</v>
      </c>
      <c r="C788" s="38">
        <v>953</v>
      </c>
      <c r="D788" s="38" t="s">
        <v>411</v>
      </c>
      <c r="E788" s="38" t="s">
        <v>226</v>
      </c>
      <c r="F788" s="38"/>
      <c r="G788" s="168">
        <f>G791+G789</f>
        <v>1518.43</v>
      </c>
      <c r="H788" s="168">
        <f aca="true" t="shared" si="374" ref="H788:I788">H791+H789</f>
        <v>740</v>
      </c>
      <c r="I788" s="168">
        <f t="shared" si="374"/>
        <v>740</v>
      </c>
    </row>
    <row r="789" spans="1:9" ht="31.2">
      <c r="A789" s="312">
        <v>743</v>
      </c>
      <c r="B789" s="256" t="s">
        <v>32</v>
      </c>
      <c r="C789" s="38">
        <v>953</v>
      </c>
      <c r="D789" s="38" t="s">
        <v>411</v>
      </c>
      <c r="E789" s="38" t="s">
        <v>226</v>
      </c>
      <c r="F789" s="38">
        <v>200</v>
      </c>
      <c r="G789" s="168">
        <f>G790</f>
        <v>10.000000000000004</v>
      </c>
      <c r="H789" s="168">
        <f aca="true" t="shared" si="375" ref="H789:I789">H790</f>
        <v>7.4</v>
      </c>
      <c r="I789" s="168">
        <f t="shared" si="375"/>
        <v>7.4</v>
      </c>
    </row>
    <row r="790" spans="1:12" ht="46.8">
      <c r="A790" s="312">
        <v>744</v>
      </c>
      <c r="B790" s="256" t="s">
        <v>33</v>
      </c>
      <c r="C790" s="38">
        <v>953</v>
      </c>
      <c r="D790" s="38" t="s">
        <v>411</v>
      </c>
      <c r="E790" s="38" t="s">
        <v>226</v>
      </c>
      <c r="F790" s="38">
        <v>240</v>
      </c>
      <c r="G790" s="168">
        <f>7.4+1.14+16.8-15.34</f>
        <v>10.000000000000004</v>
      </c>
      <c r="H790" s="168">
        <v>7.4</v>
      </c>
      <c r="I790" s="168">
        <v>7.4</v>
      </c>
      <c r="L790" s="272">
        <v>-15.34</v>
      </c>
    </row>
    <row r="791" spans="1:9" ht="31.2">
      <c r="A791" s="312">
        <v>745</v>
      </c>
      <c r="B791" s="256" t="s">
        <v>205</v>
      </c>
      <c r="C791" s="38">
        <v>953</v>
      </c>
      <c r="D791" s="38" t="s">
        <v>411</v>
      </c>
      <c r="E791" s="38" t="s">
        <v>226</v>
      </c>
      <c r="F791" s="38">
        <v>300</v>
      </c>
      <c r="G791" s="168">
        <f>G792</f>
        <v>1508.43</v>
      </c>
      <c r="H791" s="168">
        <f aca="true" t="shared" si="376" ref="H791:I791">H792</f>
        <v>732.6</v>
      </c>
      <c r="I791" s="168">
        <f t="shared" si="376"/>
        <v>732.6</v>
      </c>
    </row>
    <row r="792" spans="1:9" ht="31.2">
      <c r="A792" s="312">
        <v>746</v>
      </c>
      <c r="B792" s="252" t="s">
        <v>206</v>
      </c>
      <c r="C792" s="38">
        <v>953</v>
      </c>
      <c r="D792" s="38" t="s">
        <v>411</v>
      </c>
      <c r="E792" s="38" t="s">
        <v>226</v>
      </c>
      <c r="F792" s="38">
        <v>310</v>
      </c>
      <c r="G792" s="168">
        <f>732.6+187.89+587.94</f>
        <v>1508.43</v>
      </c>
      <c r="H792" s="168">
        <v>732.6</v>
      </c>
      <c r="I792" s="168">
        <v>732.6</v>
      </c>
    </row>
    <row r="793" spans="1:9" ht="78">
      <c r="A793" s="312">
        <v>747</v>
      </c>
      <c r="B793" s="190" t="s">
        <v>335</v>
      </c>
      <c r="C793" s="38">
        <v>953</v>
      </c>
      <c r="D793" s="38" t="s">
        <v>411</v>
      </c>
      <c r="E793" s="38" t="s">
        <v>227</v>
      </c>
      <c r="F793" s="38"/>
      <c r="G793" s="168">
        <f>G796+G794</f>
        <v>325.78000000000003</v>
      </c>
      <c r="H793" s="168">
        <f aca="true" t="shared" si="377" ref="H793:I793">H796+H794</f>
        <v>614.8</v>
      </c>
      <c r="I793" s="168">
        <f t="shared" si="377"/>
        <v>614.8</v>
      </c>
    </row>
    <row r="794" spans="1:9" ht="31.2">
      <c r="A794" s="312">
        <v>748</v>
      </c>
      <c r="B794" s="256" t="s">
        <v>32</v>
      </c>
      <c r="C794" s="38">
        <v>953</v>
      </c>
      <c r="D794" s="38" t="s">
        <v>411</v>
      </c>
      <c r="E794" s="38" t="s">
        <v>227</v>
      </c>
      <c r="F794" s="38">
        <v>200</v>
      </c>
      <c r="G794" s="168">
        <f>G795</f>
        <v>2.9700000000000006</v>
      </c>
      <c r="H794" s="168">
        <f aca="true" t="shared" si="378" ref="H794:I794">H795</f>
        <v>0</v>
      </c>
      <c r="I794" s="168">
        <f t="shared" si="378"/>
        <v>0</v>
      </c>
    </row>
    <row r="795" spans="1:9" ht="46.8">
      <c r="A795" s="312">
        <v>749</v>
      </c>
      <c r="B795" s="256" t="s">
        <v>33</v>
      </c>
      <c r="C795" s="38">
        <v>953</v>
      </c>
      <c r="D795" s="38" t="s">
        <v>411</v>
      </c>
      <c r="E795" s="38" t="s">
        <v>227</v>
      </c>
      <c r="F795" s="38">
        <v>240</v>
      </c>
      <c r="G795" s="168">
        <f>2.97+1.14-1.14</f>
        <v>2.9700000000000006</v>
      </c>
      <c r="H795" s="168">
        <v>0</v>
      </c>
      <c r="I795" s="168">
        <v>0</v>
      </c>
    </row>
    <row r="796" spans="1:9" ht="31.2">
      <c r="A796" s="312">
        <v>750</v>
      </c>
      <c r="B796" s="256" t="s">
        <v>205</v>
      </c>
      <c r="C796" s="38">
        <v>953</v>
      </c>
      <c r="D796" s="38" t="s">
        <v>411</v>
      </c>
      <c r="E796" s="38" t="s">
        <v>227</v>
      </c>
      <c r="F796" s="38">
        <v>300</v>
      </c>
      <c r="G796" s="168">
        <f>G797+G798</f>
        <v>322.81</v>
      </c>
      <c r="H796" s="168">
        <f>H797+H798</f>
        <v>614.8</v>
      </c>
      <c r="I796" s="168">
        <f>I797+I798</f>
        <v>614.8</v>
      </c>
    </row>
    <row r="797" spans="1:9" ht="31.2">
      <c r="A797" s="312">
        <v>751</v>
      </c>
      <c r="B797" s="252" t="s">
        <v>206</v>
      </c>
      <c r="C797" s="38">
        <v>953</v>
      </c>
      <c r="D797" s="38" t="s">
        <v>411</v>
      </c>
      <c r="E797" s="38" t="s">
        <v>227</v>
      </c>
      <c r="F797" s="38">
        <v>310</v>
      </c>
      <c r="G797" s="168">
        <v>82.8</v>
      </c>
      <c r="H797" s="168">
        <v>82.8</v>
      </c>
      <c r="I797" s="168">
        <v>82.8</v>
      </c>
    </row>
    <row r="798" spans="1:12" ht="31.2">
      <c r="A798" s="312">
        <v>752</v>
      </c>
      <c r="B798" s="256" t="s">
        <v>228</v>
      </c>
      <c r="C798" s="38">
        <v>953</v>
      </c>
      <c r="D798" s="38" t="s">
        <v>411</v>
      </c>
      <c r="E798" s="38" t="s">
        <v>227</v>
      </c>
      <c r="F798" s="38">
        <v>320</v>
      </c>
      <c r="G798" s="168">
        <f>532-2.97-189.03-90-9.99</f>
        <v>240.01</v>
      </c>
      <c r="H798" s="168">
        <v>532</v>
      </c>
      <c r="I798" s="168">
        <v>532</v>
      </c>
      <c r="L798" s="272">
        <v>-9.99</v>
      </c>
    </row>
    <row r="799" spans="1:9" ht="31.2">
      <c r="A799" s="312">
        <v>753</v>
      </c>
      <c r="B799" s="252" t="s">
        <v>215</v>
      </c>
      <c r="C799" s="38">
        <v>953</v>
      </c>
      <c r="D799" s="38" t="s">
        <v>411</v>
      </c>
      <c r="E799" s="38" t="s">
        <v>216</v>
      </c>
      <c r="F799" s="38"/>
      <c r="G799" s="168">
        <f>G800+G805</f>
        <v>959.21</v>
      </c>
      <c r="H799" s="168">
        <f>H800+H805</f>
        <v>1025</v>
      </c>
      <c r="I799" s="168">
        <f>I800+I805</f>
        <v>1025</v>
      </c>
    </row>
    <row r="800" spans="1:9" ht="46.8">
      <c r="A800" s="312">
        <v>754</v>
      </c>
      <c r="B800" s="105" t="s">
        <v>336</v>
      </c>
      <c r="C800" s="38">
        <v>953</v>
      </c>
      <c r="D800" s="38" t="s">
        <v>411</v>
      </c>
      <c r="E800" s="38" t="s">
        <v>293</v>
      </c>
      <c r="F800" s="38"/>
      <c r="G800" s="168">
        <f>G803+G801</f>
        <v>75.45</v>
      </c>
      <c r="H800" s="168">
        <f aca="true" t="shared" si="379" ref="H800:I800">H803+H801</f>
        <v>75</v>
      </c>
      <c r="I800" s="168">
        <f t="shared" si="379"/>
        <v>75</v>
      </c>
    </row>
    <row r="801" spans="1:9" ht="31.2">
      <c r="A801" s="312">
        <v>755</v>
      </c>
      <c r="B801" s="256" t="s">
        <v>32</v>
      </c>
      <c r="C801" s="38">
        <v>953</v>
      </c>
      <c r="D801" s="38" t="s">
        <v>411</v>
      </c>
      <c r="E801" s="38" t="s">
        <v>596</v>
      </c>
      <c r="F801" s="38">
        <v>200</v>
      </c>
      <c r="G801" s="168">
        <f>G802</f>
        <v>0.45</v>
      </c>
      <c r="H801" s="168">
        <f aca="true" t="shared" si="380" ref="H801:I801">H802</f>
        <v>0</v>
      </c>
      <c r="I801" s="168">
        <f t="shared" si="380"/>
        <v>0</v>
      </c>
    </row>
    <row r="802" spans="1:9" ht="46.8">
      <c r="A802" s="312">
        <v>756</v>
      </c>
      <c r="B802" s="256" t="s">
        <v>33</v>
      </c>
      <c r="C802" s="38">
        <v>953</v>
      </c>
      <c r="D802" s="38" t="s">
        <v>411</v>
      </c>
      <c r="E802" s="38" t="s">
        <v>596</v>
      </c>
      <c r="F802" s="38">
        <v>240</v>
      </c>
      <c r="G802" s="168">
        <v>0.45</v>
      </c>
      <c r="H802" s="168">
        <v>0</v>
      </c>
      <c r="I802" s="168">
        <v>0</v>
      </c>
    </row>
    <row r="803" spans="1:9" ht="31.2">
      <c r="A803" s="312">
        <v>757</v>
      </c>
      <c r="B803" s="256" t="s">
        <v>205</v>
      </c>
      <c r="C803" s="38">
        <v>953</v>
      </c>
      <c r="D803" s="38" t="s">
        <v>411</v>
      </c>
      <c r="E803" s="38" t="s">
        <v>293</v>
      </c>
      <c r="F803" s="38">
        <v>300</v>
      </c>
      <c r="G803" s="168">
        <f>G804</f>
        <v>75</v>
      </c>
      <c r="H803" s="168">
        <f aca="true" t="shared" si="381" ref="H803:I803">H804</f>
        <v>75</v>
      </c>
      <c r="I803" s="168">
        <f t="shared" si="381"/>
        <v>75</v>
      </c>
    </row>
    <row r="804" spans="1:9" ht="31.2">
      <c r="A804" s="312">
        <v>758</v>
      </c>
      <c r="B804" s="252" t="s">
        <v>206</v>
      </c>
      <c r="C804" s="38">
        <v>953</v>
      </c>
      <c r="D804" s="38" t="s">
        <v>411</v>
      </c>
      <c r="E804" s="38" t="s">
        <v>293</v>
      </c>
      <c r="F804" s="38">
        <v>310</v>
      </c>
      <c r="G804" s="168">
        <v>75</v>
      </c>
      <c r="H804" s="168">
        <v>75</v>
      </c>
      <c r="I804" s="168">
        <v>75</v>
      </c>
    </row>
    <row r="805" spans="1:12" ht="46.8">
      <c r="A805" s="312">
        <v>759</v>
      </c>
      <c r="B805" s="256" t="s">
        <v>427</v>
      </c>
      <c r="C805" s="38">
        <v>953</v>
      </c>
      <c r="D805" s="38" t="s">
        <v>411</v>
      </c>
      <c r="E805" s="38" t="s">
        <v>293</v>
      </c>
      <c r="F805" s="38">
        <v>320</v>
      </c>
      <c r="G805" s="168">
        <f>950-66.24</f>
        <v>883.76</v>
      </c>
      <c r="H805" s="168">
        <v>950</v>
      </c>
      <c r="I805" s="168">
        <v>950</v>
      </c>
      <c r="L805" s="272">
        <v>-66.24</v>
      </c>
    </row>
    <row r="806" spans="1:9" ht="31.2">
      <c r="A806" s="312">
        <v>760</v>
      </c>
      <c r="B806" s="252" t="s">
        <v>200</v>
      </c>
      <c r="C806" s="38">
        <v>953</v>
      </c>
      <c r="D806" s="38" t="s">
        <v>411</v>
      </c>
      <c r="E806" s="38" t="s">
        <v>202</v>
      </c>
      <c r="F806" s="38"/>
      <c r="G806" s="168">
        <f>G807+G810+G815+G820</f>
        <v>8259.785</v>
      </c>
      <c r="H806" s="168">
        <f aca="true" t="shared" si="382" ref="H806:I806">H807+H810+H815+H820</f>
        <v>12605.7</v>
      </c>
      <c r="I806" s="168">
        <f t="shared" si="382"/>
        <v>14605.7</v>
      </c>
    </row>
    <row r="807" spans="1:9" ht="78">
      <c r="A807" s="312">
        <v>761</v>
      </c>
      <c r="B807" s="253" t="s">
        <v>451</v>
      </c>
      <c r="C807" s="38">
        <v>953</v>
      </c>
      <c r="D807" s="38" t="s">
        <v>411</v>
      </c>
      <c r="E807" s="38" t="s">
        <v>452</v>
      </c>
      <c r="F807" s="38"/>
      <c r="G807" s="168">
        <f>G808</f>
        <v>0</v>
      </c>
      <c r="H807" s="168">
        <f aca="true" t="shared" si="383" ref="H807:I807">H808</f>
        <v>3000</v>
      </c>
      <c r="I807" s="168">
        <f t="shared" si="383"/>
        <v>5000</v>
      </c>
    </row>
    <row r="808" spans="1:9" ht="31.2">
      <c r="A808" s="312">
        <v>762</v>
      </c>
      <c r="B808" s="256" t="s">
        <v>205</v>
      </c>
      <c r="C808" s="38">
        <v>953</v>
      </c>
      <c r="D808" s="38" t="s">
        <v>411</v>
      </c>
      <c r="E808" s="38" t="s">
        <v>452</v>
      </c>
      <c r="F808" s="38">
        <v>300</v>
      </c>
      <c r="G808" s="168">
        <f>G809</f>
        <v>0</v>
      </c>
      <c r="H808" s="168">
        <f aca="true" t="shared" si="384" ref="H808:I808">H809</f>
        <v>3000</v>
      </c>
      <c r="I808" s="168">
        <f t="shared" si="384"/>
        <v>5000</v>
      </c>
    </row>
    <row r="809" spans="1:12" ht="46.8">
      <c r="A809" s="312">
        <v>763</v>
      </c>
      <c r="B809" s="256" t="s">
        <v>427</v>
      </c>
      <c r="C809" s="38">
        <v>953</v>
      </c>
      <c r="D809" s="38" t="s">
        <v>411</v>
      </c>
      <c r="E809" s="38" t="s">
        <v>452</v>
      </c>
      <c r="F809" s="38">
        <v>320</v>
      </c>
      <c r="G809" s="168">
        <f>5000-3000-2000+1500-1500</f>
        <v>0</v>
      </c>
      <c r="H809" s="168">
        <f>5000-2000</f>
        <v>3000</v>
      </c>
      <c r="I809" s="168">
        <v>5000</v>
      </c>
      <c r="L809" s="234"/>
    </row>
    <row r="810" spans="1:9" ht="62.4">
      <c r="A810" s="312">
        <v>764</v>
      </c>
      <c r="B810" s="274" t="s">
        <v>453</v>
      </c>
      <c r="C810" s="38">
        <v>953</v>
      </c>
      <c r="D810" s="38" t="s">
        <v>411</v>
      </c>
      <c r="E810" s="38" t="s">
        <v>454</v>
      </c>
      <c r="F810" s="38"/>
      <c r="G810" s="168">
        <f>G811+G813</f>
        <v>1119.4199999999996</v>
      </c>
      <c r="H810" s="168">
        <f aca="true" t="shared" si="385" ref="H810:I810">H811+H813</f>
        <v>2640</v>
      </c>
      <c r="I810" s="168">
        <f t="shared" si="385"/>
        <v>2640</v>
      </c>
    </row>
    <row r="811" spans="1:9" ht="31.2">
      <c r="A811" s="312">
        <v>765</v>
      </c>
      <c r="B811" s="256" t="s">
        <v>32</v>
      </c>
      <c r="C811" s="38">
        <v>953</v>
      </c>
      <c r="D811" s="38" t="s">
        <v>411</v>
      </c>
      <c r="E811" s="38" t="s">
        <v>454</v>
      </c>
      <c r="F811" s="38">
        <v>200</v>
      </c>
      <c r="G811" s="168">
        <f>G812</f>
        <v>6.789999999999999</v>
      </c>
      <c r="H811" s="168">
        <f aca="true" t="shared" si="386" ref="H811:I811">H812</f>
        <v>26.4</v>
      </c>
      <c r="I811" s="168">
        <f t="shared" si="386"/>
        <v>26.4</v>
      </c>
    </row>
    <row r="812" spans="1:12" ht="46.8">
      <c r="A812" s="312">
        <v>766</v>
      </c>
      <c r="B812" s="256" t="s">
        <v>33</v>
      </c>
      <c r="C812" s="38">
        <v>953</v>
      </c>
      <c r="D812" s="38" t="s">
        <v>411</v>
      </c>
      <c r="E812" s="38" t="s">
        <v>454</v>
      </c>
      <c r="F812" s="38">
        <v>240</v>
      </c>
      <c r="G812" s="168">
        <f>26.4-16.8-0.45-2.36</f>
        <v>6.789999999999999</v>
      </c>
      <c r="H812" s="168">
        <v>26.4</v>
      </c>
      <c r="I812" s="168">
        <v>26.4</v>
      </c>
      <c r="L812" s="272">
        <v>-2.36</v>
      </c>
    </row>
    <row r="813" spans="1:9" ht="31.2">
      <c r="A813" s="312">
        <v>767</v>
      </c>
      <c r="B813" s="256" t="s">
        <v>205</v>
      </c>
      <c r="C813" s="38">
        <v>953</v>
      </c>
      <c r="D813" s="38" t="s">
        <v>411</v>
      </c>
      <c r="E813" s="38" t="s">
        <v>454</v>
      </c>
      <c r="F813" s="38">
        <v>300</v>
      </c>
      <c r="G813" s="168">
        <f>G814</f>
        <v>1112.6299999999997</v>
      </c>
      <c r="H813" s="168">
        <f aca="true" t="shared" si="387" ref="H813:I813">H814</f>
        <v>2613.6</v>
      </c>
      <c r="I813" s="168">
        <f t="shared" si="387"/>
        <v>2613.6</v>
      </c>
    </row>
    <row r="814" spans="1:12" ht="46.8">
      <c r="A814" s="312">
        <v>768</v>
      </c>
      <c r="B814" s="256" t="s">
        <v>427</v>
      </c>
      <c r="C814" s="38">
        <v>953</v>
      </c>
      <c r="D814" s="38" t="s">
        <v>411</v>
      </c>
      <c r="E814" s="38" t="s">
        <v>454</v>
      </c>
      <c r="F814" s="38">
        <v>320</v>
      </c>
      <c r="G814" s="168">
        <f>2613.6-1000+435.1-447.94-488.13</f>
        <v>1112.6299999999997</v>
      </c>
      <c r="H814" s="168">
        <v>2613.6</v>
      </c>
      <c r="I814" s="168">
        <v>2613.6</v>
      </c>
      <c r="L814" s="272">
        <v>-488.13</v>
      </c>
    </row>
    <row r="815" spans="1:9" ht="31.2">
      <c r="A815" s="312">
        <v>769</v>
      </c>
      <c r="B815" s="273" t="s">
        <v>222</v>
      </c>
      <c r="C815" s="38">
        <v>953</v>
      </c>
      <c r="D815" s="38" t="s">
        <v>411</v>
      </c>
      <c r="E815" s="38" t="s">
        <v>223</v>
      </c>
      <c r="F815" s="38"/>
      <c r="G815" s="168">
        <f>G816+G818</f>
        <v>1217.59</v>
      </c>
      <c r="H815" s="168">
        <f>H816+H818</f>
        <v>1110.5</v>
      </c>
      <c r="I815" s="168">
        <f>I816+I818</f>
        <v>1110.5</v>
      </c>
    </row>
    <row r="816" spans="1:9" ht="78">
      <c r="A816" s="312">
        <v>770</v>
      </c>
      <c r="B816" s="256" t="s">
        <v>25</v>
      </c>
      <c r="C816" s="38">
        <v>953</v>
      </c>
      <c r="D816" s="38" t="s">
        <v>411</v>
      </c>
      <c r="E816" s="38" t="s">
        <v>223</v>
      </c>
      <c r="F816" s="38">
        <v>100</v>
      </c>
      <c r="G816" s="168">
        <f>G817</f>
        <v>1133.6399999999999</v>
      </c>
      <c r="H816" s="168">
        <f aca="true" t="shared" si="388" ref="H816:I816">H817</f>
        <v>1020.5</v>
      </c>
      <c r="I816" s="168">
        <f t="shared" si="388"/>
        <v>1020.5</v>
      </c>
    </row>
    <row r="817" spans="1:12" ht="31.2">
      <c r="A817" s="312">
        <v>771</v>
      </c>
      <c r="B817" s="256" t="s">
        <v>26</v>
      </c>
      <c r="C817" s="38">
        <v>953</v>
      </c>
      <c r="D817" s="38" t="s">
        <v>411</v>
      </c>
      <c r="E817" s="38" t="s">
        <v>223</v>
      </c>
      <c r="F817" s="38">
        <v>120</v>
      </c>
      <c r="G817" s="168">
        <f>1020.5+6.05+107.09</f>
        <v>1133.6399999999999</v>
      </c>
      <c r="H817" s="168">
        <v>1020.5</v>
      </c>
      <c r="I817" s="168">
        <v>1020.5</v>
      </c>
      <c r="L817" s="272">
        <v>107.09</v>
      </c>
    </row>
    <row r="818" spans="1:9" ht="31.2">
      <c r="A818" s="312">
        <v>772</v>
      </c>
      <c r="B818" s="256" t="s">
        <v>32</v>
      </c>
      <c r="C818" s="38">
        <v>953</v>
      </c>
      <c r="D818" s="38" t="s">
        <v>411</v>
      </c>
      <c r="E818" s="38" t="s">
        <v>223</v>
      </c>
      <c r="F818" s="38">
        <v>200</v>
      </c>
      <c r="G818" s="168">
        <f>G819</f>
        <v>83.95</v>
      </c>
      <c r="H818" s="168">
        <f aca="true" t="shared" si="389" ref="H818:I818">H819</f>
        <v>90</v>
      </c>
      <c r="I818" s="168">
        <f t="shared" si="389"/>
        <v>90</v>
      </c>
    </row>
    <row r="819" spans="1:9" ht="46.8">
      <c r="A819" s="312">
        <v>773</v>
      </c>
      <c r="B819" s="256" t="s">
        <v>33</v>
      </c>
      <c r="C819" s="38">
        <v>953</v>
      </c>
      <c r="D819" s="38" t="s">
        <v>411</v>
      </c>
      <c r="E819" s="38" t="s">
        <v>223</v>
      </c>
      <c r="F819" s="38">
        <v>240</v>
      </c>
      <c r="G819" s="168">
        <f>90-6.05</f>
        <v>83.95</v>
      </c>
      <c r="H819" s="168">
        <v>90</v>
      </c>
      <c r="I819" s="168">
        <v>90</v>
      </c>
    </row>
    <row r="820" spans="1:9" ht="46.8">
      <c r="A820" s="312">
        <v>774</v>
      </c>
      <c r="B820" s="253" t="s">
        <v>219</v>
      </c>
      <c r="C820" s="38">
        <v>953</v>
      </c>
      <c r="D820" s="38" t="s">
        <v>411</v>
      </c>
      <c r="E820" s="38" t="s">
        <v>220</v>
      </c>
      <c r="F820" s="38"/>
      <c r="G820" s="168">
        <f>G821+G823+G825</f>
        <v>5922.775</v>
      </c>
      <c r="H820" s="168">
        <f>H821+H823+H825</f>
        <v>5855.2</v>
      </c>
      <c r="I820" s="168">
        <f>I821+I823+I825</f>
        <v>5855.2</v>
      </c>
    </row>
    <row r="821" spans="1:9" ht="78">
      <c r="A821" s="312">
        <v>775</v>
      </c>
      <c r="B821" s="256" t="s">
        <v>25</v>
      </c>
      <c r="C821" s="38">
        <v>953</v>
      </c>
      <c r="D821" s="38" t="s">
        <v>411</v>
      </c>
      <c r="E821" s="38" t="s">
        <v>220</v>
      </c>
      <c r="F821" s="38">
        <v>100</v>
      </c>
      <c r="G821" s="168">
        <f>G822</f>
        <v>5499.545</v>
      </c>
      <c r="H821" s="168">
        <f aca="true" t="shared" si="390" ref="H821:I821">H822</f>
        <v>5404.28</v>
      </c>
      <c r="I821" s="168">
        <f t="shared" si="390"/>
        <v>5404.28</v>
      </c>
    </row>
    <row r="822" spans="1:11" ht="31.2">
      <c r="A822" s="312">
        <v>776</v>
      </c>
      <c r="B822" s="256" t="s">
        <v>26</v>
      </c>
      <c r="C822" s="38">
        <v>953</v>
      </c>
      <c r="D822" s="38" t="s">
        <v>411</v>
      </c>
      <c r="E822" s="38" t="s">
        <v>220</v>
      </c>
      <c r="F822" s="38">
        <v>120</v>
      </c>
      <c r="G822" s="168">
        <f>5404.28-0.4+10-0.025+85.57+0.12</f>
        <v>5499.545</v>
      </c>
      <c r="H822" s="168">
        <v>5404.28</v>
      </c>
      <c r="I822" s="168">
        <v>5404.28</v>
      </c>
      <c r="J822" s="162">
        <v>0.12</v>
      </c>
      <c r="K822" s="237">
        <v>85.57</v>
      </c>
    </row>
    <row r="823" spans="1:9" ht="31.2">
      <c r="A823" s="312">
        <v>777</v>
      </c>
      <c r="B823" s="256" t="s">
        <v>32</v>
      </c>
      <c r="C823" s="38">
        <v>953</v>
      </c>
      <c r="D823" s="38" t="s">
        <v>411</v>
      </c>
      <c r="E823" s="38" t="s">
        <v>220</v>
      </c>
      <c r="F823" s="38">
        <v>200</v>
      </c>
      <c r="G823" s="168">
        <f>G824</f>
        <v>419.78000000000003</v>
      </c>
      <c r="H823" s="168">
        <f aca="true" t="shared" si="391" ref="H823:I823">H824</f>
        <v>447.92</v>
      </c>
      <c r="I823" s="168">
        <f t="shared" si="391"/>
        <v>447.92</v>
      </c>
    </row>
    <row r="824" spans="1:11" ht="46.8">
      <c r="A824" s="312">
        <v>778</v>
      </c>
      <c r="B824" s="256" t="s">
        <v>33</v>
      </c>
      <c r="C824" s="38">
        <v>953</v>
      </c>
      <c r="D824" s="38" t="s">
        <v>411</v>
      </c>
      <c r="E824" s="38" t="s">
        <v>220</v>
      </c>
      <c r="F824" s="38">
        <v>240</v>
      </c>
      <c r="G824" s="168">
        <f>447.92-10-18.02-0.12</f>
        <v>419.78000000000003</v>
      </c>
      <c r="H824" s="168">
        <v>447.92</v>
      </c>
      <c r="I824" s="168">
        <v>447.92</v>
      </c>
      <c r="J824" s="162">
        <v>-0.12</v>
      </c>
      <c r="K824" s="237">
        <v>-18.02</v>
      </c>
    </row>
    <row r="825" spans="1:9" ht="15">
      <c r="A825" s="312">
        <v>779</v>
      </c>
      <c r="B825" s="256" t="s">
        <v>67</v>
      </c>
      <c r="C825" s="38">
        <v>953</v>
      </c>
      <c r="D825" s="38" t="s">
        <v>411</v>
      </c>
      <c r="E825" s="38" t="s">
        <v>220</v>
      </c>
      <c r="F825" s="38">
        <v>800</v>
      </c>
      <c r="G825" s="168">
        <f>G826</f>
        <v>3.4499999999999997</v>
      </c>
      <c r="H825" s="168">
        <f aca="true" t="shared" si="392" ref="H825:I825">H826</f>
        <v>3</v>
      </c>
      <c r="I825" s="168">
        <f t="shared" si="392"/>
        <v>3</v>
      </c>
    </row>
    <row r="826" spans="1:11" ht="15">
      <c r="A826" s="312">
        <v>780</v>
      </c>
      <c r="B826" s="256" t="s">
        <v>221</v>
      </c>
      <c r="C826" s="38">
        <v>953</v>
      </c>
      <c r="D826" s="38" t="s">
        <v>411</v>
      </c>
      <c r="E826" s="38" t="s">
        <v>220</v>
      </c>
      <c r="F826" s="38">
        <v>850</v>
      </c>
      <c r="G826" s="168">
        <f>3+0.4+0.02+0.03</f>
        <v>3.4499999999999997</v>
      </c>
      <c r="H826" s="168">
        <v>3</v>
      </c>
      <c r="I826" s="168">
        <v>3</v>
      </c>
      <c r="K826" s="237">
        <v>0.03</v>
      </c>
    </row>
    <row r="827" spans="1:9" ht="31.2">
      <c r="A827" s="312">
        <v>781</v>
      </c>
      <c r="B827" s="260" t="s">
        <v>183</v>
      </c>
      <c r="C827" s="261">
        <v>955</v>
      </c>
      <c r="D827" s="261"/>
      <c r="E827" s="261"/>
      <c r="F827" s="261"/>
      <c r="G827" s="262">
        <f>G828</f>
        <v>1396.47</v>
      </c>
      <c r="H827" s="262">
        <f aca="true" t="shared" si="393" ref="H827:I827">H828</f>
        <v>1611.82</v>
      </c>
      <c r="I827" s="262">
        <f t="shared" si="393"/>
        <v>1611.82</v>
      </c>
    </row>
    <row r="828" spans="1:9" ht="15">
      <c r="A828" s="312">
        <v>782</v>
      </c>
      <c r="B828" s="254" t="s">
        <v>56</v>
      </c>
      <c r="C828" s="38">
        <v>955</v>
      </c>
      <c r="D828" s="38" t="s">
        <v>59</v>
      </c>
      <c r="E828" s="38"/>
      <c r="F828" s="38"/>
      <c r="G828" s="168">
        <f>G829</f>
        <v>1396.47</v>
      </c>
      <c r="H828" s="168">
        <f aca="true" t="shared" si="394" ref="H828:I830">H829</f>
        <v>1611.82</v>
      </c>
      <c r="I828" s="168">
        <f t="shared" si="394"/>
        <v>1611.82</v>
      </c>
    </row>
    <row r="829" spans="1:9" ht="46.8">
      <c r="A829" s="312">
        <v>783</v>
      </c>
      <c r="B829" s="256" t="s">
        <v>18</v>
      </c>
      <c r="C829" s="38">
        <v>955</v>
      </c>
      <c r="D829" s="38" t="s">
        <v>19</v>
      </c>
      <c r="E829" s="38"/>
      <c r="F829" s="38"/>
      <c r="G829" s="168">
        <f>G830</f>
        <v>1396.47</v>
      </c>
      <c r="H829" s="168">
        <f t="shared" si="394"/>
        <v>1611.82</v>
      </c>
      <c r="I829" s="168">
        <f t="shared" si="394"/>
        <v>1611.82</v>
      </c>
    </row>
    <row r="830" spans="1:9" ht="31.2">
      <c r="A830" s="312">
        <v>784</v>
      </c>
      <c r="B830" s="256" t="s">
        <v>36</v>
      </c>
      <c r="C830" s="38">
        <v>955</v>
      </c>
      <c r="D830" s="38" t="s">
        <v>19</v>
      </c>
      <c r="E830" s="38">
        <v>9180000000</v>
      </c>
      <c r="F830" s="38"/>
      <c r="G830" s="168">
        <f>G831</f>
        <v>1396.47</v>
      </c>
      <c r="H830" s="168">
        <f t="shared" si="394"/>
        <v>1611.82</v>
      </c>
      <c r="I830" s="168">
        <f t="shared" si="394"/>
        <v>1611.82</v>
      </c>
    </row>
    <row r="831" spans="1:9" ht="31.2">
      <c r="A831" s="312">
        <v>785</v>
      </c>
      <c r="B831" s="256" t="s">
        <v>184</v>
      </c>
      <c r="C831" s="38">
        <v>955</v>
      </c>
      <c r="D831" s="38" t="s">
        <v>19</v>
      </c>
      <c r="E831" s="38">
        <v>9180000210</v>
      </c>
      <c r="F831" s="38"/>
      <c r="G831" s="168">
        <f>G832+G834+G836</f>
        <v>1396.47</v>
      </c>
      <c r="H831" s="168">
        <f aca="true" t="shared" si="395" ref="H831:I831">H832+H834+H836</f>
        <v>1611.82</v>
      </c>
      <c r="I831" s="168">
        <f t="shared" si="395"/>
        <v>1611.82</v>
      </c>
    </row>
    <row r="832" spans="1:9" ht="78">
      <c r="A832" s="312">
        <v>786</v>
      </c>
      <c r="B832" s="256" t="s">
        <v>25</v>
      </c>
      <c r="C832" s="38">
        <v>955</v>
      </c>
      <c r="D832" s="38" t="s">
        <v>19</v>
      </c>
      <c r="E832" s="38">
        <v>9180000210</v>
      </c>
      <c r="F832" s="38">
        <v>100</v>
      </c>
      <c r="G832" s="168">
        <f>G833</f>
        <v>1201.0900000000001</v>
      </c>
      <c r="H832" s="168">
        <f aca="true" t="shared" si="396" ref="H832:I832">H833</f>
        <v>1401.27</v>
      </c>
      <c r="I832" s="168">
        <f t="shared" si="396"/>
        <v>1401.27</v>
      </c>
    </row>
    <row r="833" spans="1:10" ht="31.2">
      <c r="A833" s="312">
        <v>787</v>
      </c>
      <c r="B833" s="256" t="s">
        <v>26</v>
      </c>
      <c r="C833" s="38">
        <v>955</v>
      </c>
      <c r="D833" s="38" t="s">
        <v>19</v>
      </c>
      <c r="E833" s="38">
        <v>9180000210</v>
      </c>
      <c r="F833" s="38">
        <v>120</v>
      </c>
      <c r="G833" s="168">
        <f>1401.27-5-0.83-290.35+75+21</f>
        <v>1201.0900000000001</v>
      </c>
      <c r="H833" s="168">
        <v>1401.27</v>
      </c>
      <c r="I833" s="168">
        <v>1401.27</v>
      </c>
      <c r="J833" s="162">
        <v>21</v>
      </c>
    </row>
    <row r="834" spans="1:9" ht="31.2">
      <c r="A834" s="312">
        <v>788</v>
      </c>
      <c r="B834" s="256" t="s">
        <v>32</v>
      </c>
      <c r="C834" s="38">
        <v>955</v>
      </c>
      <c r="D834" s="38" t="s">
        <v>19</v>
      </c>
      <c r="E834" s="38">
        <v>9180000210</v>
      </c>
      <c r="F834" s="38">
        <v>200</v>
      </c>
      <c r="G834" s="168">
        <f>G835</f>
        <v>185.05</v>
      </c>
      <c r="H834" s="168">
        <f aca="true" t="shared" si="397" ref="H834:I834">H835</f>
        <v>210.05</v>
      </c>
      <c r="I834" s="168">
        <f t="shared" si="397"/>
        <v>210.05</v>
      </c>
    </row>
    <row r="835" spans="1:10" ht="46.8">
      <c r="A835" s="312">
        <v>789</v>
      </c>
      <c r="B835" s="256" t="s">
        <v>33</v>
      </c>
      <c r="C835" s="38">
        <v>955</v>
      </c>
      <c r="D835" s="38" t="s">
        <v>19</v>
      </c>
      <c r="E835" s="38">
        <v>9180000210</v>
      </c>
      <c r="F835" s="38">
        <v>240</v>
      </c>
      <c r="G835" s="168">
        <f>210.55-0.5-25</f>
        <v>185.05</v>
      </c>
      <c r="H835" s="168">
        <f>210.55-0.5</f>
        <v>210.05</v>
      </c>
      <c r="I835" s="168">
        <f>210.55-0.5</f>
        <v>210.05</v>
      </c>
      <c r="J835" s="162">
        <v>-25</v>
      </c>
    </row>
    <row r="836" spans="1:9" ht="15">
      <c r="A836" s="312">
        <v>790</v>
      </c>
      <c r="B836" s="256" t="s">
        <v>67</v>
      </c>
      <c r="C836" s="38">
        <v>955</v>
      </c>
      <c r="D836" s="38" t="s">
        <v>19</v>
      </c>
      <c r="E836" s="38">
        <v>9180000210</v>
      </c>
      <c r="F836" s="38">
        <v>800</v>
      </c>
      <c r="G836" s="168">
        <f>G838+G837</f>
        <v>10.33</v>
      </c>
      <c r="H836" s="168">
        <f aca="true" t="shared" si="398" ref="H836:I836">H838+H837</f>
        <v>0.5</v>
      </c>
      <c r="I836" s="168">
        <f t="shared" si="398"/>
        <v>0.5</v>
      </c>
    </row>
    <row r="837" spans="1:10" ht="15">
      <c r="A837" s="312">
        <v>791</v>
      </c>
      <c r="B837" s="40" t="s">
        <v>73</v>
      </c>
      <c r="C837" s="38">
        <v>955</v>
      </c>
      <c r="D837" s="38" t="s">
        <v>19</v>
      </c>
      <c r="E837" s="38">
        <v>9180000210</v>
      </c>
      <c r="F837" s="38">
        <v>830</v>
      </c>
      <c r="G837" s="168">
        <f>5+0.83+4</f>
        <v>9.83</v>
      </c>
      <c r="H837" s="168">
        <v>0</v>
      </c>
      <c r="I837" s="168">
        <v>0</v>
      </c>
      <c r="J837" s="162">
        <v>4</v>
      </c>
    </row>
    <row r="838" spans="1:9" ht="15">
      <c r="A838" s="312">
        <v>792</v>
      </c>
      <c r="B838" s="256" t="s">
        <v>221</v>
      </c>
      <c r="C838" s="38">
        <v>955</v>
      </c>
      <c r="D838" s="38" t="s">
        <v>19</v>
      </c>
      <c r="E838" s="38">
        <v>9180000210</v>
      </c>
      <c r="F838" s="38">
        <v>850</v>
      </c>
      <c r="G838" s="168">
        <v>0.5</v>
      </c>
      <c r="H838" s="168">
        <v>0.5</v>
      </c>
      <c r="I838" s="168">
        <v>0.5</v>
      </c>
    </row>
    <row r="839" spans="1:9" ht="15">
      <c r="A839" s="312">
        <v>793</v>
      </c>
      <c r="B839" s="307" t="s">
        <v>185</v>
      </c>
      <c r="C839" s="261">
        <v>957</v>
      </c>
      <c r="D839" s="261"/>
      <c r="E839" s="261"/>
      <c r="F839" s="261"/>
      <c r="G839" s="262">
        <f>G840</f>
        <v>4520.1</v>
      </c>
      <c r="H839" s="262">
        <f aca="true" t="shared" si="399" ref="H839:I841">H840</f>
        <v>6666.9</v>
      </c>
      <c r="I839" s="262">
        <f t="shared" si="399"/>
        <v>6666.9</v>
      </c>
    </row>
    <row r="840" spans="1:9" ht="15">
      <c r="A840" s="312">
        <v>794</v>
      </c>
      <c r="B840" s="254" t="s">
        <v>56</v>
      </c>
      <c r="C840" s="38">
        <v>957</v>
      </c>
      <c r="D840" s="38" t="s">
        <v>59</v>
      </c>
      <c r="E840" s="38"/>
      <c r="F840" s="38"/>
      <c r="G840" s="168">
        <f>G841</f>
        <v>4520.1</v>
      </c>
      <c r="H840" s="168">
        <f t="shared" si="399"/>
        <v>6666.9</v>
      </c>
      <c r="I840" s="168">
        <f t="shared" si="399"/>
        <v>6666.9</v>
      </c>
    </row>
    <row r="841" spans="1:9" ht="62.4">
      <c r="A841" s="312">
        <v>795</v>
      </c>
      <c r="B841" s="256" t="s">
        <v>237</v>
      </c>
      <c r="C841" s="38">
        <v>957</v>
      </c>
      <c r="D841" s="38" t="s">
        <v>414</v>
      </c>
      <c r="E841" s="38"/>
      <c r="F841" s="38"/>
      <c r="G841" s="168">
        <f>G842</f>
        <v>4520.1</v>
      </c>
      <c r="H841" s="168">
        <f t="shared" si="399"/>
        <v>6666.9</v>
      </c>
      <c r="I841" s="168">
        <f t="shared" si="399"/>
        <v>6666.9</v>
      </c>
    </row>
    <row r="842" spans="1:9" ht="31.2">
      <c r="A842" s="312">
        <v>796</v>
      </c>
      <c r="B842" s="256" t="s">
        <v>294</v>
      </c>
      <c r="C842" s="38">
        <v>957</v>
      </c>
      <c r="D842" s="38" t="s">
        <v>414</v>
      </c>
      <c r="E842" s="38"/>
      <c r="F842" s="38"/>
      <c r="G842" s="168">
        <f>G843+G851+G854</f>
        <v>4520.1</v>
      </c>
      <c r="H842" s="168">
        <f>H843+H851+H854</f>
        <v>6666.9</v>
      </c>
      <c r="I842" s="168">
        <f>I843+I851+I854</f>
        <v>6666.9</v>
      </c>
    </row>
    <row r="843" spans="1:9" ht="62.4">
      <c r="A843" s="312">
        <v>797</v>
      </c>
      <c r="B843" s="253" t="s">
        <v>297</v>
      </c>
      <c r="C843" s="38">
        <v>957</v>
      </c>
      <c r="D843" s="38" t="s">
        <v>414</v>
      </c>
      <c r="E843" s="38">
        <v>8110000210</v>
      </c>
      <c r="F843" s="38"/>
      <c r="G843" s="168">
        <f>G844+G846+G848</f>
        <v>2949.62</v>
      </c>
      <c r="H843" s="168">
        <f aca="true" t="shared" si="400" ref="H843:I843">H844+H846+H848</f>
        <v>4314.219999999999</v>
      </c>
      <c r="I843" s="168">
        <f t="shared" si="400"/>
        <v>4314.219999999999</v>
      </c>
    </row>
    <row r="844" spans="1:9" ht="78">
      <c r="A844" s="312">
        <v>798</v>
      </c>
      <c r="B844" s="256" t="s">
        <v>25</v>
      </c>
      <c r="C844" s="38">
        <v>957</v>
      </c>
      <c r="D844" s="38" t="s">
        <v>414</v>
      </c>
      <c r="E844" s="38">
        <v>8110000210</v>
      </c>
      <c r="F844" s="38">
        <v>100</v>
      </c>
      <c r="G844" s="168">
        <f>G845</f>
        <v>1766.48</v>
      </c>
      <c r="H844" s="168">
        <f aca="true" t="shared" si="401" ref="H844:I844">H845</f>
        <v>1857.48</v>
      </c>
      <c r="I844" s="168">
        <f t="shared" si="401"/>
        <v>1857.48</v>
      </c>
    </row>
    <row r="845" spans="1:12" ht="31.2">
      <c r="A845" s="312">
        <v>799</v>
      </c>
      <c r="B845" s="271" t="s">
        <v>26</v>
      </c>
      <c r="C845" s="38">
        <v>957</v>
      </c>
      <c r="D845" s="38" t="s">
        <v>414</v>
      </c>
      <c r="E845" s="38">
        <v>8110000210</v>
      </c>
      <c r="F845" s="38">
        <v>120</v>
      </c>
      <c r="G845" s="168">
        <f>1857.48+133-200-24</f>
        <v>1766.48</v>
      </c>
      <c r="H845" s="168">
        <v>1857.48</v>
      </c>
      <c r="I845" s="168">
        <v>1857.48</v>
      </c>
      <c r="L845" s="272">
        <v>-24</v>
      </c>
    </row>
    <row r="846" spans="1:9" ht="31.2">
      <c r="A846" s="312">
        <v>800</v>
      </c>
      <c r="B846" s="256" t="s">
        <v>32</v>
      </c>
      <c r="C846" s="38">
        <v>957</v>
      </c>
      <c r="D846" s="38" t="s">
        <v>414</v>
      </c>
      <c r="E846" s="38">
        <v>8110000210</v>
      </c>
      <c r="F846" s="38">
        <v>200</v>
      </c>
      <c r="G846" s="168">
        <f>G847</f>
        <v>1181.6399999999999</v>
      </c>
      <c r="H846" s="168">
        <f aca="true" t="shared" si="402" ref="H846:I846">H847</f>
        <v>2456.24</v>
      </c>
      <c r="I846" s="168">
        <f t="shared" si="402"/>
        <v>2456.24</v>
      </c>
    </row>
    <row r="847" spans="1:10" ht="46.8">
      <c r="A847" s="312">
        <v>801</v>
      </c>
      <c r="B847" s="256" t="s">
        <v>33</v>
      </c>
      <c r="C847" s="38">
        <v>957</v>
      </c>
      <c r="D847" s="38" t="s">
        <v>414</v>
      </c>
      <c r="E847" s="38">
        <v>8110000210</v>
      </c>
      <c r="F847" s="38">
        <v>240</v>
      </c>
      <c r="G847" s="168">
        <f>2456.74-0.5-1000-273.6-1</f>
        <v>1181.6399999999999</v>
      </c>
      <c r="H847" s="168">
        <f aca="true" t="shared" si="403" ref="H847:I847">2456.74-0.5</f>
        <v>2456.24</v>
      </c>
      <c r="I847" s="168">
        <f t="shared" si="403"/>
        <v>2456.24</v>
      </c>
      <c r="J847" s="162">
        <v>-1</v>
      </c>
    </row>
    <row r="848" spans="1:9" ht="15">
      <c r="A848" s="312">
        <v>802</v>
      </c>
      <c r="B848" s="256" t="s">
        <v>67</v>
      </c>
      <c r="C848" s="38">
        <v>957</v>
      </c>
      <c r="D848" s="38" t="s">
        <v>414</v>
      </c>
      <c r="E848" s="38">
        <v>8110000210</v>
      </c>
      <c r="F848" s="38">
        <v>800</v>
      </c>
      <c r="G848" s="168">
        <f>G850+G849</f>
        <v>1.5</v>
      </c>
      <c r="H848" s="168">
        <f aca="true" t="shared" si="404" ref="H848:I848">H850+H849</f>
        <v>0.5</v>
      </c>
      <c r="I848" s="168">
        <f t="shared" si="404"/>
        <v>0.5</v>
      </c>
    </row>
    <row r="849" spans="1:10" ht="15">
      <c r="A849" s="312">
        <v>803</v>
      </c>
      <c r="B849" s="40" t="s">
        <v>73</v>
      </c>
      <c r="C849" s="38">
        <v>957</v>
      </c>
      <c r="D849" s="38" t="s">
        <v>414</v>
      </c>
      <c r="E849" s="38">
        <v>8110000210</v>
      </c>
      <c r="F849" s="38">
        <v>830</v>
      </c>
      <c r="G849" s="168">
        <v>1</v>
      </c>
      <c r="H849" s="168">
        <v>0</v>
      </c>
      <c r="I849" s="168">
        <v>0</v>
      </c>
      <c r="J849" s="162">
        <v>1</v>
      </c>
    </row>
    <row r="850" spans="1:9" ht="15">
      <c r="A850" s="312">
        <v>804</v>
      </c>
      <c r="B850" s="256" t="s">
        <v>221</v>
      </c>
      <c r="C850" s="38">
        <v>957</v>
      </c>
      <c r="D850" s="38" t="s">
        <v>414</v>
      </c>
      <c r="E850" s="38">
        <v>8110000210</v>
      </c>
      <c r="F850" s="38">
        <v>850</v>
      </c>
      <c r="G850" s="168">
        <v>0.5</v>
      </c>
      <c r="H850" s="168">
        <v>0.5</v>
      </c>
      <c r="I850" s="168">
        <v>0.5</v>
      </c>
    </row>
    <row r="851" spans="1:9" ht="15">
      <c r="A851" s="312">
        <v>805</v>
      </c>
      <c r="B851" s="256" t="s">
        <v>295</v>
      </c>
      <c r="C851" s="38">
        <v>957</v>
      </c>
      <c r="D851" s="38" t="s">
        <v>414</v>
      </c>
      <c r="E851" s="38">
        <v>8110000230</v>
      </c>
      <c r="F851" s="38"/>
      <c r="G851" s="168">
        <f>G852</f>
        <v>784.2600000000001</v>
      </c>
      <c r="H851" s="168">
        <f aca="true" t="shared" si="405" ref="H851:I851">H852</f>
        <v>1105.63</v>
      </c>
      <c r="I851" s="168">
        <f t="shared" si="405"/>
        <v>1105.63</v>
      </c>
    </row>
    <row r="852" spans="1:9" ht="78">
      <c r="A852" s="312">
        <v>806</v>
      </c>
      <c r="B852" s="256" t="s">
        <v>25</v>
      </c>
      <c r="C852" s="38">
        <v>957</v>
      </c>
      <c r="D852" s="38" t="s">
        <v>414</v>
      </c>
      <c r="E852" s="38">
        <v>8110000230</v>
      </c>
      <c r="F852" s="38">
        <v>100</v>
      </c>
      <c r="G852" s="168">
        <f>G853</f>
        <v>784.2600000000001</v>
      </c>
      <c r="H852" s="168">
        <f aca="true" t="shared" si="406" ref="H852:I852">H853</f>
        <v>1105.63</v>
      </c>
      <c r="I852" s="168">
        <f t="shared" si="406"/>
        <v>1105.63</v>
      </c>
    </row>
    <row r="853" spans="1:12" ht="31.2">
      <c r="A853" s="312">
        <v>807</v>
      </c>
      <c r="B853" s="271" t="s">
        <v>26</v>
      </c>
      <c r="C853" s="38">
        <v>957</v>
      </c>
      <c r="D853" s="38" t="s">
        <v>414</v>
      </c>
      <c r="E853" s="38">
        <v>8110000230</v>
      </c>
      <c r="F853" s="38">
        <v>120</v>
      </c>
      <c r="G853" s="168">
        <f>1105.63-270-51.37</f>
        <v>784.2600000000001</v>
      </c>
      <c r="H853" s="168">
        <v>1105.63</v>
      </c>
      <c r="I853" s="168">
        <v>1105.63</v>
      </c>
      <c r="L853" s="272">
        <v>-51.37</v>
      </c>
    </row>
    <row r="854" spans="1:9" ht="15">
      <c r="A854" s="312">
        <v>808</v>
      </c>
      <c r="B854" s="253" t="s">
        <v>296</v>
      </c>
      <c r="C854" s="38">
        <v>957</v>
      </c>
      <c r="D854" s="38" t="s">
        <v>414</v>
      </c>
      <c r="E854" s="38">
        <v>8110000240</v>
      </c>
      <c r="F854" s="38"/>
      <c r="G854" s="168">
        <f>G855</f>
        <v>786.2199999999999</v>
      </c>
      <c r="H854" s="168">
        <f aca="true" t="shared" si="407" ref="H854:I854">H855</f>
        <v>1247.05</v>
      </c>
      <c r="I854" s="168">
        <f t="shared" si="407"/>
        <v>1247.05</v>
      </c>
    </row>
    <row r="855" spans="1:9" ht="78">
      <c r="A855" s="312">
        <v>809</v>
      </c>
      <c r="B855" s="256" t="s">
        <v>25</v>
      </c>
      <c r="C855" s="38">
        <v>957</v>
      </c>
      <c r="D855" s="38" t="s">
        <v>414</v>
      </c>
      <c r="E855" s="38">
        <v>8110000240</v>
      </c>
      <c r="F855" s="38">
        <v>100</v>
      </c>
      <c r="G855" s="168">
        <f>G856</f>
        <v>786.2199999999999</v>
      </c>
      <c r="H855" s="168">
        <f aca="true" t="shared" si="408" ref="H855:I855">H856</f>
        <v>1247.05</v>
      </c>
      <c r="I855" s="168">
        <f t="shared" si="408"/>
        <v>1247.05</v>
      </c>
    </row>
    <row r="856" spans="1:13" ht="31.2">
      <c r="A856" s="312">
        <v>810</v>
      </c>
      <c r="B856" s="271" t="s">
        <v>26</v>
      </c>
      <c r="C856" s="38">
        <v>957</v>
      </c>
      <c r="D856" s="38" t="s">
        <v>414</v>
      </c>
      <c r="E856" s="38">
        <v>8110000240</v>
      </c>
      <c r="F856" s="38">
        <v>120</v>
      </c>
      <c r="G856" s="168">
        <f>1247.05-460+51.37-52.2</f>
        <v>786.2199999999999</v>
      </c>
      <c r="H856" s="168">
        <v>1247.05</v>
      </c>
      <c r="I856" s="168">
        <v>1247.05</v>
      </c>
      <c r="L856" s="272">
        <v>51.37</v>
      </c>
      <c r="M856" s="272">
        <v>-52.2</v>
      </c>
    </row>
    <row r="857" spans="1:9" ht="15">
      <c r="A857" s="312">
        <v>811</v>
      </c>
      <c r="B857" s="253" t="s">
        <v>254</v>
      </c>
      <c r="C857" s="38"/>
      <c r="D857" s="38"/>
      <c r="E857" s="38"/>
      <c r="F857" s="38"/>
      <c r="G857" s="168"/>
      <c r="H857" s="168">
        <f>19412.9+2700</f>
        <v>22112.9</v>
      </c>
      <c r="I857" s="168">
        <f>49167.12</f>
        <v>49167.12</v>
      </c>
    </row>
    <row r="858" spans="1:9" ht="15">
      <c r="A858" s="312">
        <v>812</v>
      </c>
      <c r="B858" s="268" t="s">
        <v>231</v>
      </c>
      <c r="C858" s="261"/>
      <c r="D858" s="261"/>
      <c r="E858" s="261"/>
      <c r="F858" s="261"/>
      <c r="G858" s="262">
        <f>G22+G178+G333+G353+G370+G382+G400+G459+G505+G615+G748+G758+G827+G839</f>
        <v>1091587.425</v>
      </c>
      <c r="H858" s="262">
        <f>H22+H178+H333+H353+H370+H382+H400+H459+H505+H615+H748+H758+H827+H839+H857</f>
        <v>900220.06</v>
      </c>
      <c r="I858" s="262">
        <f>I22+I178+I333+I353+I370+I382+I400+I459+I505+I615+I748+I758+I827+I839+I857</f>
        <v>967474.28</v>
      </c>
    </row>
    <row r="859" spans="3:5" ht="15">
      <c r="C859" s="54"/>
      <c r="D859" s="54"/>
      <c r="E859" s="54"/>
    </row>
    <row r="860" spans="8:9" ht="15">
      <c r="H860" s="41">
        <f>H857/H858*100</f>
        <v>2.456388274662531</v>
      </c>
      <c r="I860" s="41">
        <f>I857/I858*100</f>
        <v>5.082007968211827</v>
      </c>
    </row>
  </sheetData>
  <mergeCells count="2">
    <mergeCell ref="A15:I15"/>
    <mergeCell ref="A16:I16"/>
  </mergeCells>
  <printOptions/>
  <pageMargins left="0.15748031496062992" right="0.1968503937007874" top="0.7480314960629921" bottom="0.35433070866141736" header="0.31496062992125984" footer="0.31496062992125984"/>
  <pageSetup horizontalDpi="600" verticalDpi="600" orientation="portrait" paperSize="9" scale="70" r:id="rId1"/>
  <colBreaks count="1" manualBreakCount="1">
    <brk id="9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9"/>
  <sheetViews>
    <sheetView zoomScaleSheetLayoutView="95" workbookViewId="0" topLeftCell="A1">
      <selection activeCell="E9" sqref="E9"/>
    </sheetView>
  </sheetViews>
  <sheetFormatPr defaultColWidth="9.140625" defaultRowHeight="15"/>
  <cols>
    <col min="1" max="1" width="5.8515625" style="81" customWidth="1"/>
    <col min="2" max="2" width="70.140625" style="53" customWidth="1"/>
    <col min="3" max="3" width="13.57421875" style="44" customWidth="1"/>
    <col min="4" max="4" width="8.421875" style="44" customWidth="1"/>
    <col min="5" max="5" width="9.57421875" style="44" customWidth="1"/>
    <col min="6" max="6" width="16.7109375" style="44" customWidth="1"/>
    <col min="7" max="8" width="17.57421875" style="44" customWidth="1"/>
    <col min="9" max="16384" width="9.140625" style="13" customWidth="1"/>
  </cols>
  <sheetData>
    <row r="1" ht="15">
      <c r="E1" s="100" t="s">
        <v>384</v>
      </c>
    </row>
    <row r="2" ht="15">
      <c r="E2" s="99" t="s">
        <v>606</v>
      </c>
    </row>
    <row r="3" ht="15">
      <c r="E3" s="99" t="s">
        <v>515</v>
      </c>
    </row>
    <row r="4" ht="15">
      <c r="E4" s="99" t="s">
        <v>607</v>
      </c>
    </row>
    <row r="6" ht="15">
      <c r="E6" s="100" t="s">
        <v>415</v>
      </c>
    </row>
    <row r="7" ht="15">
      <c r="E7" s="99" t="s">
        <v>606</v>
      </c>
    </row>
    <row r="8" ht="15">
      <c r="E8" s="99" t="s">
        <v>385</v>
      </c>
    </row>
    <row r="9" ht="15">
      <c r="E9" s="99" t="s">
        <v>437</v>
      </c>
    </row>
    <row r="10" ht="15">
      <c r="E10" s="99" t="s">
        <v>438</v>
      </c>
    </row>
    <row r="11" ht="15">
      <c r="E11" s="99" t="s">
        <v>514</v>
      </c>
    </row>
    <row r="12" ht="15">
      <c r="E12" s="99"/>
    </row>
    <row r="13" spans="1:8" ht="65.25" customHeight="1">
      <c r="A13" s="359" t="s">
        <v>501</v>
      </c>
      <c r="B13" s="359"/>
      <c r="C13" s="359"/>
      <c r="D13" s="359"/>
      <c r="E13" s="359"/>
      <c r="F13" s="359"/>
      <c r="G13" s="359"/>
      <c r="H13" s="359"/>
    </row>
    <row r="14" spans="1:8" ht="15">
      <c r="A14" s="14"/>
      <c r="B14" s="42"/>
      <c r="C14" s="43"/>
      <c r="D14" s="43"/>
      <c r="E14" s="43"/>
      <c r="G14" s="362" t="s">
        <v>0</v>
      </c>
      <c r="H14" s="362"/>
    </row>
    <row r="15" spans="1:8" ht="46.8">
      <c r="A15" s="1" t="s">
        <v>1</v>
      </c>
      <c r="B15" s="10" t="s">
        <v>2</v>
      </c>
      <c r="C15" s="2" t="s">
        <v>5</v>
      </c>
      <c r="D15" s="2" t="s">
        <v>6</v>
      </c>
      <c r="E15" s="2" t="s">
        <v>232</v>
      </c>
      <c r="F15" s="15" t="s">
        <v>14</v>
      </c>
      <c r="G15" s="15" t="s">
        <v>15</v>
      </c>
      <c r="H15" s="15" t="s">
        <v>440</v>
      </c>
    </row>
    <row r="16" spans="1:8" ht="15">
      <c r="A16" s="3"/>
      <c r="B16" s="2" t="s">
        <v>7</v>
      </c>
      <c r="C16" s="2" t="s">
        <v>8</v>
      </c>
      <c r="D16" s="2" t="s">
        <v>9</v>
      </c>
      <c r="E16" s="2" t="s">
        <v>10</v>
      </c>
      <c r="F16" s="2" t="s">
        <v>11</v>
      </c>
      <c r="G16" s="75">
        <v>6</v>
      </c>
      <c r="H16" s="75">
        <v>7</v>
      </c>
    </row>
    <row r="17" spans="1:8" ht="31.2">
      <c r="A17" s="311">
        <v>1</v>
      </c>
      <c r="B17" s="30" t="s">
        <v>257</v>
      </c>
      <c r="C17" s="47" t="str">
        <f>'приложение 4'!E761</f>
        <v>0 100000000</v>
      </c>
      <c r="D17" s="47"/>
      <c r="E17" s="47"/>
      <c r="F17" s="152">
        <f>F18+F24+F30+F31+F34</f>
        <v>60401.215</v>
      </c>
      <c r="G17" s="152">
        <f aca="true" t="shared" si="0" ref="G17:H17">G18+G24+G30+G31+G34</f>
        <v>59109.6</v>
      </c>
      <c r="H17" s="152">
        <f t="shared" si="0"/>
        <v>61109.6</v>
      </c>
    </row>
    <row r="18" spans="1:8" ht="31.2">
      <c r="A18" s="311">
        <v>2</v>
      </c>
      <c r="B18" s="4" t="s">
        <v>224</v>
      </c>
      <c r="C18" s="59" t="str">
        <f>'приложение 4'!E787</f>
        <v>0 110000000</v>
      </c>
      <c r="D18" s="59"/>
      <c r="E18" s="59"/>
      <c r="F18" s="169">
        <f>F20+F22+F23+F19+F21</f>
        <v>1844.21</v>
      </c>
      <c r="G18" s="169">
        <f aca="true" t="shared" si="1" ref="G18:H18">G20+G22+G23+G19+G21</f>
        <v>1354.8000000000002</v>
      </c>
      <c r="H18" s="169">
        <f t="shared" si="1"/>
        <v>1354.8000000000002</v>
      </c>
    </row>
    <row r="19" spans="1:8" ht="15">
      <c r="A19" s="318">
        <v>3</v>
      </c>
      <c r="B19" s="330" t="s">
        <v>334</v>
      </c>
      <c r="C19" s="318" t="str">
        <f>'приложение 4'!E788</f>
        <v>0 110080010</v>
      </c>
      <c r="D19" s="142">
        <v>240</v>
      </c>
      <c r="E19" s="142" t="s">
        <v>411</v>
      </c>
      <c r="F19" s="167">
        <f>'приложение 4'!G790</f>
        <v>10.000000000000004</v>
      </c>
      <c r="G19" s="167">
        <f>'приложение 4'!H790</f>
        <v>7.4</v>
      </c>
      <c r="H19" s="167">
        <f>'приложение 4'!I790</f>
        <v>7.4</v>
      </c>
    </row>
    <row r="20" spans="1:8" ht="34.5" customHeight="1">
      <c r="A20" s="320"/>
      <c r="B20" s="331"/>
      <c r="C20" s="320"/>
      <c r="D20" s="126">
        <f>'приложение 4'!F792</f>
        <v>310</v>
      </c>
      <c r="E20" s="126" t="str">
        <f>'приложение 4'!D792</f>
        <v>10 06</v>
      </c>
      <c r="F20" s="167">
        <f>'приложение 4'!G792</f>
        <v>1508.43</v>
      </c>
      <c r="G20" s="167">
        <f>'приложение 4'!H792</f>
        <v>732.6</v>
      </c>
      <c r="H20" s="167">
        <f>'приложение 4'!I792</f>
        <v>732.6</v>
      </c>
    </row>
    <row r="21" spans="1:8" ht="34.5" customHeight="1">
      <c r="A21" s="318">
        <v>4</v>
      </c>
      <c r="B21" s="363" t="s">
        <v>322</v>
      </c>
      <c r="C21" s="318" t="str">
        <f>'приложение 4'!E793</f>
        <v>0 110080020</v>
      </c>
      <c r="D21" s="126">
        <v>240</v>
      </c>
      <c r="E21" s="126" t="s">
        <v>411</v>
      </c>
      <c r="F21" s="189">
        <f>'приложение 4'!G795</f>
        <v>2.9700000000000006</v>
      </c>
      <c r="G21" s="189">
        <f>'приложение 4'!H795</f>
        <v>0</v>
      </c>
      <c r="H21" s="189">
        <f>'приложение 4'!I795</f>
        <v>0</v>
      </c>
    </row>
    <row r="22" spans="1:8" ht="15.75" customHeight="1">
      <c r="A22" s="319"/>
      <c r="B22" s="364"/>
      <c r="C22" s="319"/>
      <c r="D22" s="75">
        <f>'приложение 4'!F797</f>
        <v>310</v>
      </c>
      <c r="E22" s="75" t="str">
        <f>'приложение 4'!D797</f>
        <v>10 06</v>
      </c>
      <c r="F22" s="167">
        <f>'приложение 4'!G797</f>
        <v>82.8</v>
      </c>
      <c r="G22" s="167">
        <f>'приложение 4'!H797</f>
        <v>82.8</v>
      </c>
      <c r="H22" s="167">
        <f>'приложение 4'!I797</f>
        <v>82.8</v>
      </c>
    </row>
    <row r="23" spans="1:8" ht="15">
      <c r="A23" s="320"/>
      <c r="B23" s="365"/>
      <c r="C23" s="320"/>
      <c r="D23" s="75">
        <f>'приложение 4'!F798</f>
        <v>320</v>
      </c>
      <c r="E23" s="75" t="str">
        <f>'приложение 4'!D798</f>
        <v>10 06</v>
      </c>
      <c r="F23" s="167">
        <f>'приложение 4'!G798</f>
        <v>240.01</v>
      </c>
      <c r="G23" s="167">
        <f>'приложение 4'!H798</f>
        <v>532</v>
      </c>
      <c r="H23" s="167">
        <f>'приложение 4'!I798</f>
        <v>532</v>
      </c>
    </row>
    <row r="24" spans="1:8" ht="15">
      <c r="A24" s="311">
        <v>5</v>
      </c>
      <c r="B24" s="82" t="s">
        <v>215</v>
      </c>
      <c r="C24" s="59" t="str">
        <f>'приложение 4'!E779</f>
        <v>0 120000000</v>
      </c>
      <c r="D24" s="59"/>
      <c r="E24" s="59"/>
      <c r="F24" s="169">
        <f>F25+F26+F28+F29+F27</f>
        <v>1127.81</v>
      </c>
      <c r="G24" s="169">
        <f aca="true" t="shared" si="2" ref="G24:H24">G25+G26+G28+G29+G27</f>
        <v>1193.6</v>
      </c>
      <c r="H24" s="169">
        <f t="shared" si="2"/>
        <v>1193.6</v>
      </c>
    </row>
    <row r="25" spans="1:8" ht="15">
      <c r="A25" s="324">
        <v>6</v>
      </c>
      <c r="B25" s="358" t="s">
        <v>217</v>
      </c>
      <c r="C25" s="324" t="str">
        <f>'приложение 4'!E781</f>
        <v>0 120006400</v>
      </c>
      <c r="D25" s="126">
        <f>'приложение 4'!F782</f>
        <v>120</v>
      </c>
      <c r="E25" s="75" t="str">
        <f>'приложение 4'!D782</f>
        <v>10 03</v>
      </c>
      <c r="F25" s="167">
        <f>'приложение 4'!G782</f>
        <v>20.82</v>
      </c>
      <c r="G25" s="167">
        <f>'приложение 4'!H782</f>
        <v>20.82</v>
      </c>
      <c r="H25" s="167">
        <f>'приложение 4'!I782</f>
        <v>20.82</v>
      </c>
    </row>
    <row r="26" spans="1:8" ht="15">
      <c r="A26" s="324"/>
      <c r="B26" s="360"/>
      <c r="C26" s="361"/>
      <c r="D26" s="126">
        <f>'приложение 4'!F784</f>
        <v>240</v>
      </c>
      <c r="E26" s="46" t="str">
        <f>'приложение 4'!D784</f>
        <v>10 03</v>
      </c>
      <c r="F26" s="167">
        <f>'приложение 4'!G784</f>
        <v>147.78</v>
      </c>
      <c r="G26" s="167">
        <f>'приложение 4'!H784</f>
        <v>147.78</v>
      </c>
      <c r="H26" s="167">
        <f>'приложение 4'!I784</f>
        <v>147.78</v>
      </c>
    </row>
    <row r="27" spans="1:8" ht="15">
      <c r="A27" s="318">
        <v>7</v>
      </c>
      <c r="B27" s="321" t="s">
        <v>336</v>
      </c>
      <c r="C27" s="318" t="str">
        <f>'приложение 4'!E800</f>
        <v>0 120080030</v>
      </c>
      <c r="D27" s="126">
        <v>240</v>
      </c>
      <c r="E27" s="144" t="s">
        <v>411</v>
      </c>
      <c r="F27" s="250">
        <f>'приложение 4'!G802</f>
        <v>0.45</v>
      </c>
      <c r="G27" s="250">
        <f>'приложение 4'!H802</f>
        <v>0</v>
      </c>
      <c r="H27" s="250">
        <f>'приложение 4'!I802</f>
        <v>0</v>
      </c>
    </row>
    <row r="28" spans="1:8" ht="15.75" customHeight="1">
      <c r="A28" s="319"/>
      <c r="B28" s="322"/>
      <c r="C28" s="319"/>
      <c r="D28" s="75">
        <v>310</v>
      </c>
      <c r="E28" s="75" t="str">
        <f>'приложение 4'!D817</f>
        <v>10 06</v>
      </c>
      <c r="F28" s="167">
        <f>'приложение 4'!G804</f>
        <v>75</v>
      </c>
      <c r="G28" s="167">
        <f>'приложение 4'!H804</f>
        <v>75</v>
      </c>
      <c r="H28" s="167">
        <f>'приложение 4'!I804</f>
        <v>75</v>
      </c>
    </row>
    <row r="29" spans="1:8" ht="15">
      <c r="A29" s="320"/>
      <c r="B29" s="323"/>
      <c r="C29" s="320"/>
      <c r="D29" s="75">
        <v>320</v>
      </c>
      <c r="E29" s="86" t="s">
        <v>411</v>
      </c>
      <c r="F29" s="167">
        <f>'приложение 4'!G805</f>
        <v>883.76</v>
      </c>
      <c r="G29" s="167">
        <f>'приложение 4'!H805</f>
        <v>950</v>
      </c>
      <c r="H29" s="167">
        <f>'приложение 4'!I805</f>
        <v>950</v>
      </c>
    </row>
    <row r="30" spans="1:8" ht="31.2">
      <c r="A30" s="311">
        <v>8</v>
      </c>
      <c r="B30" s="82" t="s">
        <v>258</v>
      </c>
      <c r="C30" s="59" t="s">
        <v>259</v>
      </c>
      <c r="D30" s="59"/>
      <c r="E30" s="59"/>
      <c r="F30" s="169">
        <v>0</v>
      </c>
      <c r="G30" s="169">
        <v>0</v>
      </c>
      <c r="H30" s="169">
        <v>0</v>
      </c>
    </row>
    <row r="31" spans="1:8" ht="31.2">
      <c r="A31" s="311">
        <v>9</v>
      </c>
      <c r="B31" s="4" t="s">
        <v>209</v>
      </c>
      <c r="C31" s="59" t="s">
        <v>210</v>
      </c>
      <c r="D31" s="59"/>
      <c r="E31" s="59"/>
      <c r="F31" s="169">
        <f>F32+F33</f>
        <v>48748.479999999996</v>
      </c>
      <c r="G31" s="169">
        <f aca="true" t="shared" si="3" ref="G31:H31">G32+G33</f>
        <v>43465.5</v>
      </c>
      <c r="H31" s="169">
        <f t="shared" si="3"/>
        <v>43465.5</v>
      </c>
    </row>
    <row r="32" spans="1:8" ht="62.4">
      <c r="A32" s="311">
        <v>10</v>
      </c>
      <c r="B32" s="112" t="s">
        <v>211</v>
      </c>
      <c r="C32" s="114" t="str">
        <f>'приложение 4'!E771</f>
        <v>0 140001510</v>
      </c>
      <c r="D32" s="75">
        <f>'приложение 4'!F773</f>
        <v>610</v>
      </c>
      <c r="E32" s="75" t="str">
        <f>'приложение 4'!D773</f>
        <v>10 02</v>
      </c>
      <c r="F32" s="167">
        <f>'приложение 4'!G773</f>
        <v>48724.74</v>
      </c>
      <c r="G32" s="167">
        <f>'приложение 4'!H773</f>
        <v>43441.5</v>
      </c>
      <c r="H32" s="167">
        <f>'приложение 4'!I773</f>
        <v>43441.5</v>
      </c>
    </row>
    <row r="33" spans="1:8" ht="31.2">
      <c r="A33" s="311">
        <v>11</v>
      </c>
      <c r="B33" s="10" t="s">
        <v>229</v>
      </c>
      <c r="C33" s="75" t="str">
        <f>'приложение 4'!E774</f>
        <v>0 140000070</v>
      </c>
      <c r="D33" s="75">
        <f>'приложение 4'!F776</f>
        <v>610</v>
      </c>
      <c r="E33" s="75" t="str">
        <f>'приложение 4'!D776</f>
        <v>10 02</v>
      </c>
      <c r="F33" s="167">
        <f>'приложение 4'!G776</f>
        <v>23.74</v>
      </c>
      <c r="G33" s="167">
        <f>'приложение 4'!H776</f>
        <v>24</v>
      </c>
      <c r="H33" s="167">
        <f>'приложение 4'!I776</f>
        <v>24</v>
      </c>
    </row>
    <row r="34" spans="1:8" ht="15">
      <c r="A34" s="311">
        <v>12</v>
      </c>
      <c r="B34" s="82" t="s">
        <v>200</v>
      </c>
      <c r="C34" s="188" t="s">
        <v>202</v>
      </c>
      <c r="D34" s="59"/>
      <c r="E34" s="59"/>
      <c r="F34" s="169">
        <f>F36+F37+F38+F39+F40+F42+F44+F41+F35+F43</f>
        <v>8680.715</v>
      </c>
      <c r="G34" s="169">
        <f aca="true" t="shared" si="4" ref="G34:H34">G36+G37+G38+G39+G40+G42+G44+G41+G35+G43</f>
        <v>13095.699999999999</v>
      </c>
      <c r="H34" s="169">
        <f t="shared" si="4"/>
        <v>15095.699999999999</v>
      </c>
    </row>
    <row r="35" spans="1:8" ht="15">
      <c r="A35" s="318">
        <v>13</v>
      </c>
      <c r="B35" s="329" t="s">
        <v>203</v>
      </c>
      <c r="C35" s="318" t="str">
        <f>'приложение 4'!E767</f>
        <v>0 150001110</v>
      </c>
      <c r="D35" s="142">
        <v>240</v>
      </c>
      <c r="E35" s="142" t="s">
        <v>198</v>
      </c>
      <c r="F35" s="167">
        <f>'приложение 4'!G765</f>
        <v>2.4000000000000004</v>
      </c>
      <c r="G35" s="167">
        <f>'приложение 4'!H765</f>
        <v>4.9</v>
      </c>
      <c r="H35" s="167">
        <f>'приложение 4'!I765</f>
        <v>4.9</v>
      </c>
    </row>
    <row r="36" spans="1:8" ht="34.5" customHeight="1">
      <c r="A36" s="320"/>
      <c r="B36" s="326"/>
      <c r="C36" s="320"/>
      <c r="D36" s="142">
        <f>'приложение 4'!F767</f>
        <v>310</v>
      </c>
      <c r="E36" s="75" t="str">
        <f>'приложение 4'!D766</f>
        <v>10 01</v>
      </c>
      <c r="F36" s="167">
        <f>'приложение 4'!G767</f>
        <v>418.53000000000003</v>
      </c>
      <c r="G36" s="167">
        <f>'приложение 4'!H767</f>
        <v>485.1</v>
      </c>
      <c r="H36" s="167">
        <f>'приложение 4'!I767</f>
        <v>485.1</v>
      </c>
    </row>
    <row r="37" spans="1:8" ht="15">
      <c r="A37" s="318">
        <v>14</v>
      </c>
      <c r="B37" s="327" t="s">
        <v>222</v>
      </c>
      <c r="C37" s="324" t="str">
        <f>'приложение 4'!E815</f>
        <v>0 150000060</v>
      </c>
      <c r="D37" s="126">
        <f>'приложение 4'!F817</f>
        <v>120</v>
      </c>
      <c r="E37" s="75" t="str">
        <f>'приложение 4'!D815</f>
        <v>10 06</v>
      </c>
      <c r="F37" s="167">
        <f>'приложение 4'!G817</f>
        <v>1133.6399999999999</v>
      </c>
      <c r="G37" s="167">
        <f>'приложение 4'!H817</f>
        <v>1020.5</v>
      </c>
      <c r="H37" s="167">
        <f>'приложение 4'!I817</f>
        <v>1020.5</v>
      </c>
    </row>
    <row r="38" spans="1:8" ht="15">
      <c r="A38" s="319"/>
      <c r="B38" s="327"/>
      <c r="C38" s="324"/>
      <c r="D38" s="108">
        <f>'приложение 4'!F819</f>
        <v>240</v>
      </c>
      <c r="E38" s="108" t="str">
        <f>'приложение 4'!D816</f>
        <v>10 06</v>
      </c>
      <c r="F38" s="167">
        <f>'приложение 4'!G819</f>
        <v>83.95</v>
      </c>
      <c r="G38" s="167">
        <f>'приложение 4'!H819</f>
        <v>90</v>
      </c>
      <c r="H38" s="167">
        <f>'приложение 4'!I819</f>
        <v>90</v>
      </c>
    </row>
    <row r="39" spans="1:8" ht="15">
      <c r="A39" s="324">
        <v>15</v>
      </c>
      <c r="B39" s="328" t="s">
        <v>219</v>
      </c>
      <c r="C39" s="324" t="str">
        <f>'приложение 4'!E820</f>
        <v>0 150000210</v>
      </c>
      <c r="D39" s="75">
        <f>'приложение 4'!F822</f>
        <v>120</v>
      </c>
      <c r="E39" s="75" t="str">
        <f>'приложение 4'!D817</f>
        <v>10 06</v>
      </c>
      <c r="F39" s="167">
        <f>'приложение 4'!G822</f>
        <v>5499.545</v>
      </c>
      <c r="G39" s="167">
        <f>'приложение 4'!H822</f>
        <v>5404.28</v>
      </c>
      <c r="H39" s="167">
        <f>'приложение 4'!I822</f>
        <v>5404.28</v>
      </c>
    </row>
    <row r="40" spans="1:8" ht="15">
      <c r="A40" s="324"/>
      <c r="B40" s="328"/>
      <c r="C40" s="324"/>
      <c r="D40" s="75">
        <f>'приложение 4'!F824</f>
        <v>240</v>
      </c>
      <c r="E40" s="75" t="str">
        <f>'приложение 4'!D824</f>
        <v>10 06</v>
      </c>
      <c r="F40" s="167">
        <f>'приложение 4'!G824</f>
        <v>419.78000000000003</v>
      </c>
      <c r="G40" s="167">
        <f>'приложение 4'!H824</f>
        <v>447.92</v>
      </c>
      <c r="H40" s="167">
        <f>'приложение 4'!I824</f>
        <v>447.92</v>
      </c>
    </row>
    <row r="41" spans="1:8" ht="15">
      <c r="A41" s="324"/>
      <c r="B41" s="328"/>
      <c r="C41" s="324"/>
      <c r="D41" s="113">
        <f>'приложение 4'!F826</f>
        <v>850</v>
      </c>
      <c r="E41" s="113" t="str">
        <f>'приложение 4'!D826</f>
        <v>10 06</v>
      </c>
      <c r="F41" s="170">
        <f>'приложение 4'!G826</f>
        <v>3.4499999999999997</v>
      </c>
      <c r="G41" s="170">
        <f>'приложение 4'!H826</f>
        <v>3</v>
      </c>
      <c r="H41" s="170">
        <f>'приложение 4'!I826</f>
        <v>3</v>
      </c>
    </row>
    <row r="42" spans="1:8" ht="62.4">
      <c r="A42" s="311">
        <v>16</v>
      </c>
      <c r="B42" s="158" t="s">
        <v>451</v>
      </c>
      <c r="C42" s="114" t="str">
        <f>'приложение 4'!E809</f>
        <v>0 150080080</v>
      </c>
      <c r="D42" s="114">
        <f>'приложение 4'!F809</f>
        <v>320</v>
      </c>
      <c r="E42" s="114" t="str">
        <f>'приложение 4'!D809</f>
        <v>10 06</v>
      </c>
      <c r="F42" s="167">
        <f>'приложение 4'!G809</f>
        <v>0</v>
      </c>
      <c r="G42" s="167">
        <f>'приложение 4'!H809</f>
        <v>3000</v>
      </c>
      <c r="H42" s="167">
        <f>'приложение 4'!I809</f>
        <v>5000</v>
      </c>
    </row>
    <row r="43" spans="1:8" ht="15">
      <c r="A43" s="319">
        <v>17</v>
      </c>
      <c r="B43" s="325" t="s">
        <v>453</v>
      </c>
      <c r="C43" s="318" t="str">
        <f>'приложение 4'!E814</f>
        <v>0 150080090</v>
      </c>
      <c r="D43" s="142">
        <v>240</v>
      </c>
      <c r="E43" s="142" t="s">
        <v>411</v>
      </c>
      <c r="F43" s="167">
        <f>'приложение 4'!G812</f>
        <v>6.789999999999999</v>
      </c>
      <c r="G43" s="167">
        <f>'приложение 4'!H812</f>
        <v>26.4</v>
      </c>
      <c r="H43" s="167">
        <f>'приложение 4'!I812</f>
        <v>26.4</v>
      </c>
    </row>
    <row r="44" spans="1:8" ht="37.5" customHeight="1">
      <c r="A44" s="320"/>
      <c r="B44" s="326"/>
      <c r="C44" s="320"/>
      <c r="D44" s="114">
        <f>'приложение 4'!F814</f>
        <v>320</v>
      </c>
      <c r="E44" s="114" t="str">
        <f>'приложение 4'!D814</f>
        <v>10 06</v>
      </c>
      <c r="F44" s="167">
        <f>'приложение 4'!G814</f>
        <v>1112.6299999999997</v>
      </c>
      <c r="G44" s="167">
        <f>'приложение 4'!H814</f>
        <v>2613.6</v>
      </c>
      <c r="H44" s="167">
        <f>'приложение 4'!I814</f>
        <v>2613.6</v>
      </c>
    </row>
    <row r="45" spans="1:8" ht="31.2">
      <c r="A45" s="311">
        <v>18</v>
      </c>
      <c r="B45" s="30" t="s">
        <v>354</v>
      </c>
      <c r="C45" s="75" t="str">
        <f>'приложение 4'!E356</f>
        <v>0 200000000</v>
      </c>
      <c r="D45" s="75"/>
      <c r="E45" s="75"/>
      <c r="F45" s="152">
        <f>F46+F53+F59+F71+F88</f>
        <v>106362.04999999999</v>
      </c>
      <c r="G45" s="152">
        <f>G46+G53+G59+G71+G88</f>
        <v>87554.72</v>
      </c>
      <c r="H45" s="152">
        <f>H46+H53+H59+H71+H88</f>
        <v>87554.72</v>
      </c>
    </row>
    <row r="46" spans="1:8" ht="15">
      <c r="A46" s="311">
        <v>19</v>
      </c>
      <c r="B46" s="4" t="s">
        <v>144</v>
      </c>
      <c r="C46" s="59" t="str">
        <f>'приложение 4'!E673</f>
        <v>0 210000000</v>
      </c>
      <c r="D46" s="59"/>
      <c r="E46" s="59"/>
      <c r="F46" s="169">
        <f>F47+F48+F50+F52+F51</f>
        <v>19218.16</v>
      </c>
      <c r="G46" s="169">
        <f aca="true" t="shared" si="5" ref="G46:H46">G47+G48+G50</f>
        <v>16697.949999999997</v>
      </c>
      <c r="H46" s="169">
        <f t="shared" si="5"/>
        <v>16697.949999999997</v>
      </c>
    </row>
    <row r="47" spans="1:8" ht="46.8">
      <c r="A47" s="311">
        <v>20</v>
      </c>
      <c r="B47" s="115" t="s">
        <v>146</v>
      </c>
      <c r="C47" s="114" t="str">
        <f>'приложение 4'!E674</f>
        <v>0 210000610</v>
      </c>
      <c r="D47" s="75">
        <v>610</v>
      </c>
      <c r="E47" s="86" t="s">
        <v>409</v>
      </c>
      <c r="F47" s="167">
        <f>'приложение 4'!G676</f>
        <v>10387.189999999999</v>
      </c>
      <c r="G47" s="167">
        <f>'приложение 4'!H676</f>
        <v>10867.26</v>
      </c>
      <c r="H47" s="167">
        <f>'приложение 4'!I676</f>
        <v>10867.26</v>
      </c>
    </row>
    <row r="48" spans="1:8" ht="15">
      <c r="A48" s="324">
        <v>21</v>
      </c>
      <c r="B48" s="358" t="s">
        <v>163</v>
      </c>
      <c r="C48" s="324" t="str">
        <f>'приложение 4'!E677</f>
        <v>0 210000620</v>
      </c>
      <c r="D48" s="324">
        <v>610</v>
      </c>
      <c r="E48" s="324" t="s">
        <v>409</v>
      </c>
      <c r="F48" s="357">
        <f>'приложение 4'!G679</f>
        <v>3031.3999999999996</v>
      </c>
      <c r="G48" s="357">
        <f>'приложение 4'!H679</f>
        <v>2965.7</v>
      </c>
      <c r="H48" s="357">
        <f>'приложение 4'!I679</f>
        <v>2965.7</v>
      </c>
    </row>
    <row r="49" spans="1:8" ht="15">
      <c r="A49" s="324"/>
      <c r="B49" s="358"/>
      <c r="C49" s="324"/>
      <c r="D49" s="324"/>
      <c r="E49" s="324"/>
      <c r="F49" s="357"/>
      <c r="G49" s="357"/>
      <c r="H49" s="357"/>
    </row>
    <row r="50" spans="1:8" ht="31.2">
      <c r="A50" s="311">
        <v>22</v>
      </c>
      <c r="B50" s="115" t="s">
        <v>152</v>
      </c>
      <c r="C50" s="114" t="str">
        <f>'приложение 4'!E680</f>
        <v>0 210000630</v>
      </c>
      <c r="D50" s="75">
        <v>610</v>
      </c>
      <c r="E50" s="86" t="s">
        <v>409</v>
      </c>
      <c r="F50" s="167">
        <f>'приложение 4'!G682</f>
        <v>3265.59</v>
      </c>
      <c r="G50" s="167">
        <f>'приложение 4'!H682</f>
        <v>2864.99</v>
      </c>
      <c r="H50" s="167">
        <f>'приложение 4'!I682</f>
        <v>2864.99</v>
      </c>
    </row>
    <row r="51" spans="1:8" ht="15">
      <c r="A51" s="318">
        <v>23</v>
      </c>
      <c r="B51" s="330" t="s">
        <v>573</v>
      </c>
      <c r="C51" s="318" t="s">
        <v>574</v>
      </c>
      <c r="D51" s="228">
        <v>610</v>
      </c>
      <c r="E51" s="228" t="s">
        <v>409</v>
      </c>
      <c r="F51" s="230">
        <f>'приложение 4'!G685</f>
        <v>1961.7800000000002</v>
      </c>
      <c r="G51" s="230">
        <f>'приложение 4'!H685</f>
        <v>0</v>
      </c>
      <c r="H51" s="230">
        <f>'приложение 4'!I685</f>
        <v>0</v>
      </c>
    </row>
    <row r="52" spans="1:8" ht="73.5" customHeight="1">
      <c r="A52" s="320"/>
      <c r="B52" s="331"/>
      <c r="C52" s="320"/>
      <c r="D52" s="228">
        <v>540</v>
      </c>
      <c r="E52" s="228" t="s">
        <v>409</v>
      </c>
      <c r="F52" s="230">
        <f>'приложение 4'!G140</f>
        <v>572.2</v>
      </c>
      <c r="G52" s="230">
        <f>'приложение 4'!H140</f>
        <v>0</v>
      </c>
      <c r="H52" s="230">
        <f>'приложение 4'!I140</f>
        <v>0</v>
      </c>
    </row>
    <row r="53" spans="1:8" ht="15">
      <c r="A53" s="311">
        <v>24</v>
      </c>
      <c r="B53" s="4" t="s">
        <v>125</v>
      </c>
      <c r="C53" s="59" t="s">
        <v>127</v>
      </c>
      <c r="D53" s="59"/>
      <c r="E53" s="59"/>
      <c r="F53" s="169">
        <f>F54+F55+F57+F58+F56</f>
        <v>2147.49</v>
      </c>
      <c r="G53" s="169">
        <f aca="true" t="shared" si="6" ref="G53:H53">G54+G55+G57+G58+G56</f>
        <v>2352.81</v>
      </c>
      <c r="H53" s="169">
        <f t="shared" si="6"/>
        <v>2352.81</v>
      </c>
    </row>
    <row r="54" spans="1:8" ht="15">
      <c r="A54" s="318">
        <v>25</v>
      </c>
      <c r="B54" s="352" t="s">
        <v>128</v>
      </c>
      <c r="C54" s="318" t="str">
        <f>'приложение 4'!E359</f>
        <v>0 220000610</v>
      </c>
      <c r="D54" s="75">
        <v>110</v>
      </c>
      <c r="E54" s="86" t="s">
        <v>186</v>
      </c>
      <c r="F54" s="167">
        <f>'приложение 4'!G360</f>
        <v>1146.8</v>
      </c>
      <c r="G54" s="167">
        <f>'приложение 4'!H360</f>
        <v>1277.77</v>
      </c>
      <c r="H54" s="167">
        <f>'приложение 4'!I360</f>
        <v>1277.77</v>
      </c>
    </row>
    <row r="55" spans="1:8" ht="15">
      <c r="A55" s="319"/>
      <c r="B55" s="353"/>
      <c r="C55" s="319"/>
      <c r="D55" s="106">
        <v>240</v>
      </c>
      <c r="E55" s="114" t="s">
        <v>456</v>
      </c>
      <c r="F55" s="167">
        <f>'приложение 4'!G362</f>
        <v>773.09</v>
      </c>
      <c r="G55" s="167">
        <f>'приложение 4'!H362</f>
        <v>847.44</v>
      </c>
      <c r="H55" s="167">
        <f>'приложение 4'!I362</f>
        <v>847.44</v>
      </c>
    </row>
    <row r="56" spans="1:8" ht="15">
      <c r="A56" s="320"/>
      <c r="B56" s="354"/>
      <c r="C56" s="320"/>
      <c r="D56" s="150">
        <v>850</v>
      </c>
      <c r="E56" s="150" t="s">
        <v>186</v>
      </c>
      <c r="F56" s="167">
        <f>'приложение 4'!G364</f>
        <v>2</v>
      </c>
      <c r="G56" s="167">
        <f>'приложение 4'!H364</f>
        <v>2</v>
      </c>
      <c r="H56" s="167">
        <f>'приложение 4'!I364</f>
        <v>2</v>
      </c>
    </row>
    <row r="57" spans="1:8" ht="15">
      <c r="A57" s="318">
        <v>26</v>
      </c>
      <c r="B57" s="355" t="s">
        <v>131</v>
      </c>
      <c r="C57" s="324" t="str">
        <f>'приложение 4'!E365</f>
        <v>0 220075190</v>
      </c>
      <c r="D57" s="75">
        <v>110</v>
      </c>
      <c r="E57" s="87" t="s">
        <v>186</v>
      </c>
      <c r="F57" s="167">
        <f>'приложение 4'!G367</f>
        <v>186.73</v>
      </c>
      <c r="G57" s="167">
        <f>'приложение 4'!H367</f>
        <v>186.73</v>
      </c>
      <c r="H57" s="167">
        <f>'приложение 4'!I367</f>
        <v>186.73</v>
      </c>
    </row>
    <row r="58" spans="1:8" ht="15">
      <c r="A58" s="319"/>
      <c r="B58" s="355"/>
      <c r="C58" s="324"/>
      <c r="D58" s="106">
        <v>240</v>
      </c>
      <c r="E58" s="107" t="s">
        <v>435</v>
      </c>
      <c r="F58" s="167">
        <f>'приложение 4'!G369</f>
        <v>38.87</v>
      </c>
      <c r="G58" s="167">
        <f>'приложение 4'!H369</f>
        <v>38.87</v>
      </c>
      <c r="H58" s="167">
        <f>'приложение 4'!I369</f>
        <v>38.87</v>
      </c>
    </row>
    <row r="59" spans="1:8" ht="15">
      <c r="A59" s="311">
        <v>27</v>
      </c>
      <c r="B59" s="83" t="s">
        <v>148</v>
      </c>
      <c r="C59" s="59" t="s">
        <v>149</v>
      </c>
      <c r="D59" s="59"/>
      <c r="E59" s="59"/>
      <c r="F59" s="169">
        <f>F64+F65+F66+F69+F60+F63+F67+F68+F62+F70+F61</f>
        <v>41479.31999999999</v>
      </c>
      <c r="G59" s="169">
        <f aca="true" t="shared" si="7" ref="G59:H59">G64+G65+G66+G69+G60+G63+G67+G68+G62+G70+G61</f>
        <v>36334.24</v>
      </c>
      <c r="H59" s="169">
        <f t="shared" si="7"/>
        <v>36334.24</v>
      </c>
    </row>
    <row r="60" spans="1:8" ht="31.2">
      <c r="A60" s="311">
        <v>28</v>
      </c>
      <c r="B60" s="130" t="s">
        <v>477</v>
      </c>
      <c r="C60" s="192" t="str">
        <f>'приложение 5'!C70</f>
        <v>0 2300S4810</v>
      </c>
      <c r="D60" s="192">
        <v>610</v>
      </c>
      <c r="E60" s="192" t="s">
        <v>420</v>
      </c>
      <c r="F60" s="193">
        <f>'приложение 4'!G622</f>
        <v>0</v>
      </c>
      <c r="G60" s="193">
        <f>'приложение 4'!H622</f>
        <v>0</v>
      </c>
      <c r="H60" s="193">
        <f>'приложение 4'!I622</f>
        <v>0</v>
      </c>
    </row>
    <row r="61" spans="1:8" ht="67.5" customHeight="1">
      <c r="A61" s="311">
        <v>29</v>
      </c>
      <c r="B61" s="296" t="s">
        <v>544</v>
      </c>
      <c r="C61" s="38" t="s">
        <v>604</v>
      </c>
      <c r="D61" s="295">
        <v>610</v>
      </c>
      <c r="E61" s="295" t="s">
        <v>386</v>
      </c>
      <c r="F61" s="294">
        <f>'приложение 4'!G625</f>
        <v>119.79</v>
      </c>
      <c r="G61" s="294">
        <f>'приложение 4'!H625</f>
        <v>0</v>
      </c>
      <c r="H61" s="294">
        <f>'приложение 4'!I625</f>
        <v>0</v>
      </c>
    </row>
    <row r="62" spans="1:8" ht="46.8">
      <c r="A62" s="311">
        <v>30</v>
      </c>
      <c r="B62" s="241" t="s">
        <v>591</v>
      </c>
      <c r="C62" s="242" t="s">
        <v>590</v>
      </c>
      <c r="D62" s="242">
        <v>610</v>
      </c>
      <c r="E62" s="242" t="s">
        <v>386</v>
      </c>
      <c r="F62" s="243">
        <f>'приложение 4'!G628</f>
        <v>1.21</v>
      </c>
      <c r="G62" s="243">
        <f>'приложение 4'!H628</f>
        <v>0</v>
      </c>
      <c r="H62" s="243">
        <f>'приложение 4'!I628</f>
        <v>0</v>
      </c>
    </row>
    <row r="63" spans="1:8" ht="69" customHeight="1">
      <c r="A63" s="311">
        <v>31</v>
      </c>
      <c r="B63" s="191" t="str">
        <f>'приложение 4'!B142</f>
        <v>Средства на 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численностью населения до 300 тысяч человек</v>
      </c>
      <c r="C63" s="192" t="str">
        <f>'приложение 4'!E144</f>
        <v>0 2300R5580</v>
      </c>
      <c r="D63" s="192">
        <v>540</v>
      </c>
      <c r="E63" s="192" t="s">
        <v>409</v>
      </c>
      <c r="F63" s="193">
        <f>'приложение 4'!G144</f>
        <v>830</v>
      </c>
      <c r="G63" s="193">
        <f>'приложение 4'!H144</f>
        <v>0</v>
      </c>
      <c r="H63" s="193">
        <f>'приложение 4'!I144</f>
        <v>0</v>
      </c>
    </row>
    <row r="64" spans="1:8" ht="46.8">
      <c r="A64" s="311">
        <v>32</v>
      </c>
      <c r="B64" s="115" t="s">
        <v>150</v>
      </c>
      <c r="C64" s="114" t="str">
        <f>'приложение 4'!E687</f>
        <v>0 230000640</v>
      </c>
      <c r="D64" s="75">
        <v>610</v>
      </c>
      <c r="E64" s="86" t="s">
        <v>409</v>
      </c>
      <c r="F64" s="167">
        <f>'приложение 4'!G689</f>
        <v>11885.57</v>
      </c>
      <c r="G64" s="167">
        <f>'приложение 4'!H689</f>
        <v>11396.21</v>
      </c>
      <c r="H64" s="167">
        <f>'приложение 4'!I689</f>
        <v>11396.21</v>
      </c>
    </row>
    <row r="65" spans="1:8" ht="46.8">
      <c r="A65" s="311">
        <v>33</v>
      </c>
      <c r="B65" s="115" t="s">
        <v>160</v>
      </c>
      <c r="C65" s="114" t="str">
        <f>'приложение 4'!E690</f>
        <v>0 230000650</v>
      </c>
      <c r="D65" s="75">
        <v>610</v>
      </c>
      <c r="E65" s="86" t="s">
        <v>409</v>
      </c>
      <c r="F65" s="167">
        <f>'приложение 4'!G692</f>
        <v>20228.62</v>
      </c>
      <c r="G65" s="167">
        <f>'приложение 4'!H692</f>
        <v>21682.05</v>
      </c>
      <c r="H65" s="167">
        <f>'приложение 4'!I692</f>
        <v>21682.05</v>
      </c>
    </row>
    <row r="66" spans="1:8" ht="46.8">
      <c r="A66" s="311">
        <v>34</v>
      </c>
      <c r="B66" s="287" t="s">
        <v>598</v>
      </c>
      <c r="C66" s="288" t="s">
        <v>599</v>
      </c>
      <c r="D66" s="284">
        <v>610</v>
      </c>
      <c r="E66" s="284" t="s">
        <v>409</v>
      </c>
      <c r="F66" s="286">
        <f>'приложение 4'!G695</f>
        <v>2439.11</v>
      </c>
      <c r="G66" s="286">
        <f>'приложение 4'!H695</f>
        <v>0</v>
      </c>
      <c r="H66" s="286">
        <f>'приложение 4'!I695</f>
        <v>0</v>
      </c>
    </row>
    <row r="67" spans="1:8" ht="31.2">
      <c r="A67" s="311">
        <v>35</v>
      </c>
      <c r="B67" s="116" t="s">
        <v>165</v>
      </c>
      <c r="C67" s="114" t="str">
        <f>'приложение 4'!E696</f>
        <v>0 230000690</v>
      </c>
      <c r="D67" s="75">
        <v>610</v>
      </c>
      <c r="E67" s="86" t="s">
        <v>409</v>
      </c>
      <c r="F67" s="167">
        <f>'приложение 4'!G698</f>
        <v>2633.6999999999994</v>
      </c>
      <c r="G67" s="167">
        <f>'приложение 4'!H698</f>
        <v>3255.98</v>
      </c>
      <c r="H67" s="167">
        <f>'приложение 4'!I698</f>
        <v>3255.98</v>
      </c>
    </row>
    <row r="68" spans="1:8" ht="78">
      <c r="A68" s="311">
        <v>36</v>
      </c>
      <c r="B68" s="229" t="s">
        <v>573</v>
      </c>
      <c r="C68" s="228" t="s">
        <v>581</v>
      </c>
      <c r="D68" s="228">
        <v>610</v>
      </c>
      <c r="E68" s="228" t="s">
        <v>409</v>
      </c>
      <c r="F68" s="230">
        <f>'приложение 4'!G701</f>
        <v>3126.3199999999997</v>
      </c>
      <c r="G68" s="230">
        <f>'приложение 4'!H701</f>
        <v>0</v>
      </c>
      <c r="H68" s="230">
        <f>'приложение 4'!I701</f>
        <v>0</v>
      </c>
    </row>
    <row r="69" spans="1:8" ht="93.6">
      <c r="A69" s="311">
        <v>37</v>
      </c>
      <c r="B69" s="229" t="s">
        <v>583</v>
      </c>
      <c r="C69" s="228" t="s">
        <v>582</v>
      </c>
      <c r="D69" s="228">
        <v>610</v>
      </c>
      <c r="E69" s="228" t="s">
        <v>409</v>
      </c>
      <c r="F69" s="230">
        <f>'приложение 4'!G704</f>
        <v>200</v>
      </c>
      <c r="G69" s="230"/>
      <c r="H69" s="230"/>
    </row>
    <row r="70" spans="1:8" ht="31.2">
      <c r="A70" s="311">
        <v>38</v>
      </c>
      <c r="B70" s="130" t="s">
        <v>477</v>
      </c>
      <c r="C70" s="129" t="str">
        <f>'приложение 4'!E622</f>
        <v>0 2300S4810</v>
      </c>
      <c r="D70" s="129">
        <v>610</v>
      </c>
      <c r="E70" s="129" t="s">
        <v>409</v>
      </c>
      <c r="F70" s="167">
        <f>'приложение 4'!G707</f>
        <v>15</v>
      </c>
      <c r="G70" s="167">
        <f>'приложение 4'!H707</f>
        <v>0</v>
      </c>
      <c r="H70" s="167">
        <f>'приложение 4'!I707</f>
        <v>0</v>
      </c>
    </row>
    <row r="71" spans="1:8" ht="31.2">
      <c r="A71" s="311">
        <v>39</v>
      </c>
      <c r="B71" s="4" t="s">
        <v>136</v>
      </c>
      <c r="C71" s="59" t="s">
        <v>137</v>
      </c>
      <c r="D71" s="59"/>
      <c r="E71" s="59"/>
      <c r="F71" s="169">
        <f>F72+F76+F78+F79+F80+F81+F82+F83+F84+F85+F86+F74+F75+F77+F73+F87</f>
        <v>43417.08</v>
      </c>
      <c r="G71" s="169">
        <f aca="true" t="shared" si="8" ref="G71:H71">G72+G76+G78+G79+G80+G81+G82+G83+G84+G85+G86+G74+G75</f>
        <v>31510.589999999997</v>
      </c>
      <c r="H71" s="169">
        <f t="shared" si="8"/>
        <v>31510.589999999997</v>
      </c>
    </row>
    <row r="72" spans="1:8" ht="31.2">
      <c r="A72" s="311">
        <v>40</v>
      </c>
      <c r="B72" s="112" t="s">
        <v>138</v>
      </c>
      <c r="C72" s="114" t="str">
        <f>'приложение 4'!E630</f>
        <v>0 240000610</v>
      </c>
      <c r="D72" s="75">
        <v>610</v>
      </c>
      <c r="E72" s="86" t="s">
        <v>386</v>
      </c>
      <c r="F72" s="167">
        <f>'приложение 4'!G632</f>
        <v>24688.48</v>
      </c>
      <c r="G72" s="167">
        <f>'приложение 4'!H632</f>
        <v>24563.89</v>
      </c>
      <c r="H72" s="167">
        <f>'приложение 4'!I632</f>
        <v>24563.89</v>
      </c>
    </row>
    <row r="73" spans="1:8" ht="93.6">
      <c r="A73" s="309">
        <v>41</v>
      </c>
      <c r="B73" s="229" t="s">
        <v>578</v>
      </c>
      <c r="C73" s="228" t="s">
        <v>580</v>
      </c>
      <c r="D73" s="228">
        <v>610</v>
      </c>
      <c r="E73" s="228" t="s">
        <v>386</v>
      </c>
      <c r="F73" s="230">
        <f>'приложение 4'!G635</f>
        <v>640.6</v>
      </c>
      <c r="G73" s="230">
        <f>'приложение 4'!H635</f>
        <v>0</v>
      </c>
      <c r="H73" s="230">
        <f>'приложение 4'!I635</f>
        <v>0</v>
      </c>
    </row>
    <row r="74" spans="1:8" ht="15">
      <c r="A74" s="318">
        <v>42</v>
      </c>
      <c r="B74" s="329" t="s">
        <v>534</v>
      </c>
      <c r="C74" s="318" t="s">
        <v>535</v>
      </c>
      <c r="D74" s="181">
        <v>540</v>
      </c>
      <c r="E74" s="181" t="s">
        <v>409</v>
      </c>
      <c r="F74" s="186">
        <f>'приложение 4'!G148</f>
        <v>70.74</v>
      </c>
      <c r="G74" s="186">
        <f>'приложение 4'!H148</f>
        <v>0</v>
      </c>
      <c r="H74" s="186">
        <f>'приложение 4'!I148</f>
        <v>0</v>
      </c>
    </row>
    <row r="75" spans="1:8" ht="15">
      <c r="A75" s="320"/>
      <c r="B75" s="326"/>
      <c r="C75" s="320"/>
      <c r="D75" s="181">
        <v>610</v>
      </c>
      <c r="E75" s="181" t="s">
        <v>409</v>
      </c>
      <c r="F75" s="186">
        <f>'приложение 4'!G714</f>
        <v>598.26</v>
      </c>
      <c r="G75" s="186">
        <f>'приложение 4'!H714</f>
        <v>0</v>
      </c>
      <c r="H75" s="186">
        <f>'приложение 4'!I714</f>
        <v>0</v>
      </c>
    </row>
    <row r="76" spans="1:8" ht="63" customHeight="1">
      <c r="A76" s="318">
        <v>43</v>
      </c>
      <c r="B76" s="330" t="s">
        <v>544</v>
      </c>
      <c r="C76" s="318" t="str">
        <f>'приложение 4'!E709</f>
        <v>02400R5190</v>
      </c>
      <c r="D76" s="75">
        <v>610</v>
      </c>
      <c r="E76" s="86" t="s">
        <v>409</v>
      </c>
      <c r="F76" s="167">
        <f>'приложение 4'!G711</f>
        <v>202.6</v>
      </c>
      <c r="G76" s="167">
        <f>'приложение 4'!H711</f>
        <v>0</v>
      </c>
      <c r="H76" s="167">
        <f>'приложение 4'!I711</f>
        <v>0</v>
      </c>
    </row>
    <row r="77" spans="1:8" ht="15">
      <c r="A77" s="320"/>
      <c r="B77" s="331"/>
      <c r="C77" s="320"/>
      <c r="D77" s="228">
        <v>540</v>
      </c>
      <c r="E77" s="228" t="s">
        <v>409</v>
      </c>
      <c r="F77" s="230">
        <f>'приложение 4'!G151</f>
        <v>100</v>
      </c>
      <c r="G77" s="230">
        <f>'приложение 4'!H151</f>
        <v>0</v>
      </c>
      <c r="H77" s="230">
        <f>'приложение 4'!I151</f>
        <v>0</v>
      </c>
    </row>
    <row r="78" spans="1:8" ht="31.2">
      <c r="A78" s="311">
        <v>44</v>
      </c>
      <c r="B78" s="10" t="s">
        <v>169</v>
      </c>
      <c r="C78" s="75" t="str">
        <f>'приложение 4'!E715</f>
        <v>0 240000660</v>
      </c>
      <c r="D78" s="75">
        <v>610</v>
      </c>
      <c r="E78" s="86" t="s">
        <v>409</v>
      </c>
      <c r="F78" s="167">
        <f>'приложение 4'!G717</f>
        <v>350</v>
      </c>
      <c r="G78" s="167">
        <f>'приложение 4'!H717</f>
        <v>350</v>
      </c>
      <c r="H78" s="167">
        <f>'приложение 4'!I717</f>
        <v>350</v>
      </c>
    </row>
    <row r="79" spans="1:8" ht="31.2">
      <c r="A79" s="311">
        <v>45</v>
      </c>
      <c r="B79" s="10" t="s">
        <v>171</v>
      </c>
      <c r="C79" s="75" t="str">
        <f>'приложение 4'!E718</f>
        <v>0 2400S4880</v>
      </c>
      <c r="D79" s="75">
        <v>610</v>
      </c>
      <c r="E79" s="86" t="s">
        <v>409</v>
      </c>
      <c r="F79" s="167">
        <f>'приложение 4'!G720</f>
        <v>100</v>
      </c>
      <c r="G79" s="167">
        <f>'приложение 4'!H720</f>
        <v>0</v>
      </c>
      <c r="H79" s="167">
        <f>'приложение 4'!I720</f>
        <v>0</v>
      </c>
    </row>
    <row r="80" spans="1:8" ht="31.2">
      <c r="A80" s="311">
        <v>46</v>
      </c>
      <c r="B80" s="10" t="s">
        <v>171</v>
      </c>
      <c r="C80" s="75" t="str">
        <f>'приложение 4'!E723</f>
        <v>0 2400L1440</v>
      </c>
      <c r="D80" s="75">
        <v>610</v>
      </c>
      <c r="E80" s="86" t="s">
        <v>409</v>
      </c>
      <c r="F80" s="167">
        <f>'приложение 4'!G723</f>
        <v>50</v>
      </c>
      <c r="G80" s="167">
        <f>'приложение 4'!H723</f>
        <v>0</v>
      </c>
      <c r="H80" s="167">
        <f>'приложение 4'!I723</f>
        <v>0</v>
      </c>
    </row>
    <row r="81" spans="1:8" ht="15">
      <c r="A81" s="324">
        <v>47</v>
      </c>
      <c r="B81" s="328" t="s">
        <v>168</v>
      </c>
      <c r="C81" s="324" t="str">
        <f>'приложение 4'!E727</f>
        <v>0 240000610</v>
      </c>
      <c r="D81" s="75">
        <v>110</v>
      </c>
      <c r="E81" s="86" t="s">
        <v>410</v>
      </c>
      <c r="F81" s="167">
        <f>'приложение 4'!G729</f>
        <v>4216.37</v>
      </c>
      <c r="G81" s="167">
        <f>'приложение 4'!H729</f>
        <v>3510.29</v>
      </c>
      <c r="H81" s="167">
        <f>'приложение 4'!I729</f>
        <v>3510.29</v>
      </c>
    </row>
    <row r="82" spans="1:8" ht="15">
      <c r="A82" s="324"/>
      <c r="B82" s="328"/>
      <c r="C82" s="324"/>
      <c r="D82" s="75">
        <v>240</v>
      </c>
      <c r="E82" s="86" t="s">
        <v>410</v>
      </c>
      <c r="F82" s="167">
        <f>'приложение 4'!G731</f>
        <v>564.26</v>
      </c>
      <c r="G82" s="167">
        <f>'приложение 4'!H731</f>
        <v>623.26</v>
      </c>
      <c r="H82" s="167">
        <f>'приложение 4'!I731</f>
        <v>623.26</v>
      </c>
    </row>
    <row r="83" spans="1:8" ht="15">
      <c r="A83" s="324"/>
      <c r="B83" s="328"/>
      <c r="C83" s="324"/>
      <c r="D83" s="106">
        <v>850</v>
      </c>
      <c r="E83" s="106" t="s">
        <v>410</v>
      </c>
      <c r="F83" s="167">
        <f>'приложение 4'!G733</f>
        <v>2</v>
      </c>
      <c r="G83" s="167">
        <f>'приложение 4'!H733</f>
        <v>2</v>
      </c>
      <c r="H83" s="167">
        <f>'приложение 4'!I733</f>
        <v>2</v>
      </c>
    </row>
    <row r="84" spans="1:8" ht="46.8">
      <c r="A84" s="311">
        <v>48</v>
      </c>
      <c r="B84" s="76" t="s">
        <v>448</v>
      </c>
      <c r="C84" s="114" t="str">
        <f>'приложение 4'!E736</f>
        <v>0 240080040</v>
      </c>
      <c r="D84" s="114">
        <v>610</v>
      </c>
      <c r="E84" s="114" t="s">
        <v>457</v>
      </c>
      <c r="F84" s="167">
        <f>'приложение 4'!G736</f>
        <v>9347.970000000003</v>
      </c>
      <c r="G84" s="167">
        <f>'приложение 4'!H736</f>
        <v>0</v>
      </c>
      <c r="H84" s="167">
        <f>'приложение 4'!I736</f>
        <v>0</v>
      </c>
    </row>
    <row r="85" spans="1:8" ht="15.75" customHeight="1">
      <c r="A85" s="318">
        <v>49</v>
      </c>
      <c r="B85" s="329" t="s">
        <v>458</v>
      </c>
      <c r="C85" s="318" t="s">
        <v>447</v>
      </c>
      <c r="D85" s="114">
        <v>110</v>
      </c>
      <c r="E85" s="144" t="s">
        <v>410</v>
      </c>
      <c r="F85" s="167">
        <f>'приложение 4'!G753</f>
        <v>2270.36</v>
      </c>
      <c r="G85" s="167">
        <f>'приложение 4'!H753</f>
        <v>2245.85</v>
      </c>
      <c r="H85" s="167">
        <f>'приложение 4'!I753</f>
        <v>2245.85</v>
      </c>
    </row>
    <row r="86" spans="1:8" ht="15">
      <c r="A86" s="319"/>
      <c r="B86" s="325"/>
      <c r="C86" s="319"/>
      <c r="D86" s="114">
        <v>240</v>
      </c>
      <c r="E86" s="144" t="s">
        <v>410</v>
      </c>
      <c r="F86" s="167">
        <f>'приложение 4'!G755</f>
        <v>215.3</v>
      </c>
      <c r="G86" s="167">
        <f>'приложение 4'!H755</f>
        <v>215.3</v>
      </c>
      <c r="H86" s="167">
        <f>'приложение 4'!I755</f>
        <v>215.3</v>
      </c>
    </row>
    <row r="87" spans="1:8" ht="15">
      <c r="A87" s="320"/>
      <c r="B87" s="326"/>
      <c r="C87" s="320"/>
      <c r="D87" s="228">
        <v>850</v>
      </c>
      <c r="E87" s="144" t="s">
        <v>410</v>
      </c>
      <c r="F87" s="230">
        <f>'приложение 4'!G757</f>
        <v>0.14</v>
      </c>
      <c r="G87" s="230">
        <f>'приложение 4'!H757</f>
        <v>0</v>
      </c>
      <c r="H87" s="230">
        <f>'приложение 4'!I757</f>
        <v>0</v>
      </c>
    </row>
    <row r="88" spans="1:8" ht="15">
      <c r="A88" s="311">
        <v>50</v>
      </c>
      <c r="B88" s="4" t="s">
        <v>502</v>
      </c>
      <c r="C88" s="75" t="s">
        <v>355</v>
      </c>
      <c r="D88" s="75"/>
      <c r="E88" s="75"/>
      <c r="F88" s="167">
        <f>F89</f>
        <v>100</v>
      </c>
      <c r="G88" s="167">
        <f aca="true" t="shared" si="9" ref="G88:H88">G89</f>
        <v>659.13</v>
      </c>
      <c r="H88" s="167">
        <f t="shared" si="9"/>
        <v>659.13</v>
      </c>
    </row>
    <row r="89" spans="1:8" ht="31.2">
      <c r="A89" s="311">
        <v>51</v>
      </c>
      <c r="B89" s="74" t="s">
        <v>357</v>
      </c>
      <c r="C89" s="75" t="str">
        <f>'приложение 4'!E738</f>
        <v>0 250094800</v>
      </c>
      <c r="D89" s="75">
        <v>610</v>
      </c>
      <c r="E89" s="86" t="s">
        <v>410</v>
      </c>
      <c r="F89" s="167">
        <f>'приложение 4'!G740</f>
        <v>100</v>
      </c>
      <c r="G89" s="167">
        <f>'приложение 4'!H740</f>
        <v>659.13</v>
      </c>
      <c r="H89" s="167">
        <f>'приложение 4'!I740</f>
        <v>659.13</v>
      </c>
    </row>
    <row r="90" spans="1:8" ht="31.2">
      <c r="A90" s="311">
        <v>52</v>
      </c>
      <c r="B90" s="30" t="s">
        <v>260</v>
      </c>
      <c r="C90" s="47" t="s">
        <v>110</v>
      </c>
      <c r="D90" s="59"/>
      <c r="E90" s="59"/>
      <c r="F90" s="153">
        <f>F91+F98+F109+F115</f>
        <v>477850.95000000007</v>
      </c>
      <c r="G90" s="153">
        <f aca="true" t="shared" si="10" ref="G90:H90">G91+G98+G109+G115</f>
        <v>464334.27999999997</v>
      </c>
      <c r="H90" s="153">
        <f t="shared" si="10"/>
        <v>464334.27999999997</v>
      </c>
    </row>
    <row r="91" spans="1:8" ht="15">
      <c r="A91" s="311">
        <v>53</v>
      </c>
      <c r="B91" s="4" t="s">
        <v>261</v>
      </c>
      <c r="C91" s="59" t="s">
        <v>262</v>
      </c>
      <c r="D91" s="59"/>
      <c r="E91" s="59"/>
      <c r="F91" s="169">
        <f>F92+F93+F94+F95+F96+F97</f>
        <v>158752.31999999998</v>
      </c>
      <c r="G91" s="169">
        <f aca="true" t="shared" si="11" ref="G91:H91">G92+G93+G94+G95+G96+G97</f>
        <v>163484.28999999998</v>
      </c>
      <c r="H91" s="169">
        <f t="shared" si="11"/>
        <v>163484.28999999998</v>
      </c>
    </row>
    <row r="92" spans="1:8" ht="31.2">
      <c r="A92" s="311">
        <v>54</v>
      </c>
      <c r="B92" s="121" t="s">
        <v>138</v>
      </c>
      <c r="C92" s="122" t="str">
        <f>'приложение 4'!E510</f>
        <v>0 310000610</v>
      </c>
      <c r="D92" s="59">
        <v>610</v>
      </c>
      <c r="E92" s="88" t="s">
        <v>407</v>
      </c>
      <c r="F92" s="169">
        <f>'приложение 4'!G512</f>
        <v>70915.60999999999</v>
      </c>
      <c r="G92" s="169">
        <f>'приложение 4'!H512</f>
        <v>74141.79</v>
      </c>
      <c r="H92" s="169">
        <f>'приложение 4'!I512</f>
        <v>74141.79</v>
      </c>
    </row>
    <row r="93" spans="1:8" ht="124.8">
      <c r="A93" s="311">
        <v>55</v>
      </c>
      <c r="B93" s="50" t="s">
        <v>318</v>
      </c>
      <c r="C93" s="75" t="str">
        <f>'приложение 4'!E513</f>
        <v>0 310074080</v>
      </c>
      <c r="D93" s="59">
        <v>610</v>
      </c>
      <c r="E93" s="88" t="s">
        <v>407</v>
      </c>
      <c r="F93" s="169">
        <f>'приложение 4'!G513</f>
        <v>32978.9</v>
      </c>
      <c r="G93" s="169">
        <f>'приложение 4'!H513</f>
        <v>30266.7</v>
      </c>
      <c r="H93" s="169">
        <f>'приложение 4'!I513</f>
        <v>30266.7</v>
      </c>
    </row>
    <row r="94" spans="1:8" ht="124.8">
      <c r="A94" s="311">
        <v>56</v>
      </c>
      <c r="B94" s="125" t="s">
        <v>319</v>
      </c>
      <c r="C94" s="122" t="str">
        <f>'приложение 4'!E516</f>
        <v>0 310075880</v>
      </c>
      <c r="D94" s="59">
        <v>610</v>
      </c>
      <c r="E94" s="88" t="s">
        <v>407</v>
      </c>
      <c r="F94" s="169">
        <f>'приложение 4'!G518</f>
        <v>50776.100000000006</v>
      </c>
      <c r="G94" s="169">
        <f>'приложение 4'!H518</f>
        <v>51911.8</v>
      </c>
      <c r="H94" s="169">
        <f>'приложение 4'!I518</f>
        <v>51911.8</v>
      </c>
    </row>
    <row r="95" spans="1:8" ht="140.4">
      <c r="A95" s="311">
        <v>57</v>
      </c>
      <c r="B95" s="52" t="s">
        <v>303</v>
      </c>
      <c r="C95" s="75" t="str">
        <f>'приложение 4'!E519</f>
        <v>0 310075540</v>
      </c>
      <c r="D95" s="59">
        <v>610</v>
      </c>
      <c r="E95" s="88" t="s">
        <v>407</v>
      </c>
      <c r="F95" s="169">
        <f>'приложение 4'!G521</f>
        <v>324</v>
      </c>
      <c r="G95" s="169">
        <f>'приложение 4'!H521</f>
        <v>324</v>
      </c>
      <c r="H95" s="169">
        <f>'приложение 4'!I521</f>
        <v>324</v>
      </c>
    </row>
    <row r="96" spans="1:8" ht="15">
      <c r="A96" s="311">
        <v>58</v>
      </c>
      <c r="B96" s="10" t="s">
        <v>364</v>
      </c>
      <c r="C96" s="75" t="str">
        <f>'приложение 4'!E523</f>
        <v>0 310080210</v>
      </c>
      <c r="D96" s="75">
        <v>610</v>
      </c>
      <c r="E96" s="86" t="s">
        <v>407</v>
      </c>
      <c r="F96" s="169">
        <f>'приложение 4'!G524</f>
        <v>1447.6799999999998</v>
      </c>
      <c r="G96" s="169">
        <f>'приложение 4'!H524</f>
        <v>840</v>
      </c>
      <c r="H96" s="169">
        <f>'приложение 4'!I524</f>
        <v>840</v>
      </c>
    </row>
    <row r="97" spans="1:8" ht="31.2">
      <c r="A97" s="311">
        <v>59</v>
      </c>
      <c r="B97" s="10" t="s">
        <v>373</v>
      </c>
      <c r="C97" s="75" t="str">
        <f>'приложение 4'!E525</f>
        <v>0 310088150</v>
      </c>
      <c r="D97" s="75">
        <v>610</v>
      </c>
      <c r="E97" s="86" t="s">
        <v>407</v>
      </c>
      <c r="F97" s="169">
        <f>'приложение 4'!G527</f>
        <v>2310.0299999999997</v>
      </c>
      <c r="G97" s="169">
        <f>'приложение 4'!H527</f>
        <v>6000</v>
      </c>
      <c r="H97" s="169">
        <f>'приложение 4'!I527</f>
        <v>6000</v>
      </c>
    </row>
    <row r="98" spans="1:8" ht="15">
      <c r="A98" s="311">
        <v>60</v>
      </c>
      <c r="B98" s="4" t="s">
        <v>263</v>
      </c>
      <c r="C98" s="59" t="s">
        <v>264</v>
      </c>
      <c r="D98" s="59"/>
      <c r="E98" s="59"/>
      <c r="F98" s="169">
        <f>F99+F100+F102+F104+F105+F106+F107+F108+F103+F101</f>
        <v>275325.22000000003</v>
      </c>
      <c r="G98" s="169">
        <f aca="true" t="shared" si="12" ref="G98:H98">G99+G100+G102+G104+G105+G106+G107+G108+G103+G101</f>
        <v>257892.50999999998</v>
      </c>
      <c r="H98" s="169">
        <f t="shared" si="12"/>
        <v>257892.50999999998</v>
      </c>
    </row>
    <row r="99" spans="1:8" ht="31.2">
      <c r="A99" s="311">
        <v>61</v>
      </c>
      <c r="B99" s="121" t="s">
        <v>138</v>
      </c>
      <c r="C99" s="122" t="str">
        <f>'приложение 4'!E531</f>
        <v>0 320000610</v>
      </c>
      <c r="D99" s="75">
        <v>610</v>
      </c>
      <c r="E99" s="86" t="s">
        <v>386</v>
      </c>
      <c r="F99" s="167">
        <f>'приложение 4'!G533</f>
        <v>97101.5</v>
      </c>
      <c r="G99" s="186">
        <f>'приложение 4'!H533</f>
        <v>83377.84</v>
      </c>
      <c r="H99" s="186">
        <f>'приложение 4'!I533</f>
        <v>83377.84</v>
      </c>
    </row>
    <row r="100" spans="1:8" ht="31.2">
      <c r="A100" s="311">
        <v>62</v>
      </c>
      <c r="B100" s="119" t="s">
        <v>461</v>
      </c>
      <c r="C100" s="122" t="str">
        <f>'приложение 4'!E536</f>
        <v>0 32007397Г</v>
      </c>
      <c r="D100" s="122">
        <v>610</v>
      </c>
      <c r="E100" s="122" t="s">
        <v>386</v>
      </c>
      <c r="F100" s="167">
        <f>'приложение 4'!G536</f>
        <v>2092.4</v>
      </c>
      <c r="G100" s="167">
        <f>'приложение 4'!H536</f>
        <v>2092.4</v>
      </c>
      <c r="H100" s="167">
        <f>'приложение 4'!I536</f>
        <v>2092.4</v>
      </c>
    </row>
    <row r="101" spans="1:8" ht="78">
      <c r="A101" s="311">
        <v>63</v>
      </c>
      <c r="B101" s="184" t="s">
        <v>541</v>
      </c>
      <c r="C101" s="181" t="s">
        <v>540</v>
      </c>
      <c r="D101" s="181">
        <v>240</v>
      </c>
      <c r="E101" s="181" t="s">
        <v>386</v>
      </c>
      <c r="F101" s="186">
        <f>'приложение 4'!G557</f>
        <v>4.84</v>
      </c>
      <c r="G101" s="186">
        <f>'приложение 4'!H557</f>
        <v>0</v>
      </c>
      <c r="H101" s="186">
        <f>'приложение 4'!I557</f>
        <v>0</v>
      </c>
    </row>
    <row r="102" spans="1:8" ht="124.8">
      <c r="A102" s="311">
        <v>64</v>
      </c>
      <c r="B102" s="51" t="s">
        <v>320</v>
      </c>
      <c r="C102" s="75" t="str">
        <f>'приложение 4'!E537</f>
        <v>0 320074090</v>
      </c>
      <c r="D102" s="75">
        <v>610</v>
      </c>
      <c r="E102" s="86" t="s">
        <v>386</v>
      </c>
      <c r="F102" s="167">
        <f>'приложение 4'!G539</f>
        <v>29328.5</v>
      </c>
      <c r="G102" s="167">
        <f>'приложение 4'!H539</f>
        <v>27816</v>
      </c>
      <c r="H102" s="167">
        <f>'приложение 4'!I539</f>
        <v>27816</v>
      </c>
    </row>
    <row r="103" spans="1:8" ht="78">
      <c r="A103" s="311">
        <v>65</v>
      </c>
      <c r="B103" s="185" t="s">
        <v>538</v>
      </c>
      <c r="C103" s="181" t="s">
        <v>539</v>
      </c>
      <c r="D103" s="181">
        <v>610</v>
      </c>
      <c r="E103" s="181" t="s">
        <v>386</v>
      </c>
      <c r="F103" s="186">
        <f>'приложение 4'!G542</f>
        <v>1477</v>
      </c>
      <c r="G103" s="186">
        <f>'приложение 4'!H542</f>
        <v>0</v>
      </c>
      <c r="H103" s="186">
        <f>'приложение 4'!I542</f>
        <v>0</v>
      </c>
    </row>
    <row r="104" spans="1:8" ht="124.8">
      <c r="A104" s="311">
        <v>66</v>
      </c>
      <c r="B104" s="124" t="s">
        <v>321</v>
      </c>
      <c r="C104" s="122" t="str">
        <f>'приложение 4'!E543</f>
        <v>0 320075640</v>
      </c>
      <c r="D104" s="75">
        <v>610</v>
      </c>
      <c r="E104" s="86" t="s">
        <v>386</v>
      </c>
      <c r="F104" s="167">
        <f>'приложение 4'!G545</f>
        <v>134278.69999999998</v>
      </c>
      <c r="G104" s="167">
        <f>'приложение 4'!H545</f>
        <v>131760.1</v>
      </c>
      <c r="H104" s="167">
        <f>'приложение 4'!I545</f>
        <v>131760.1</v>
      </c>
    </row>
    <row r="105" spans="1:8" ht="93.6">
      <c r="A105" s="311">
        <v>67</v>
      </c>
      <c r="B105" s="51" t="s">
        <v>313</v>
      </c>
      <c r="C105" s="75" t="str">
        <f>'приложение 4'!E612</f>
        <v>0 320075660</v>
      </c>
      <c r="D105" s="75">
        <v>610</v>
      </c>
      <c r="E105" s="86" t="s">
        <v>214</v>
      </c>
      <c r="F105" s="167">
        <f>'приложение 4'!G614</f>
        <v>7070.299999999999</v>
      </c>
      <c r="G105" s="167">
        <f>'приложение 4'!H614</f>
        <v>10444.4</v>
      </c>
      <c r="H105" s="167">
        <f>'приложение 4'!I614</f>
        <v>10444.4</v>
      </c>
    </row>
    <row r="106" spans="1:8" ht="31.2">
      <c r="A106" s="311">
        <v>68</v>
      </c>
      <c r="B106" s="10" t="s">
        <v>365</v>
      </c>
      <c r="C106" s="75" t="str">
        <f>'приложение 4'!E546</f>
        <v>0 320080210</v>
      </c>
      <c r="D106" s="75">
        <v>610</v>
      </c>
      <c r="E106" s="86" t="s">
        <v>386</v>
      </c>
      <c r="F106" s="167">
        <f>'приложение 4'!G548</f>
        <v>1584.21</v>
      </c>
      <c r="G106" s="167">
        <f>'приложение 4'!H548</f>
        <v>1155</v>
      </c>
      <c r="H106" s="167">
        <f>'приложение 4'!I548</f>
        <v>1155</v>
      </c>
    </row>
    <row r="107" spans="1:8" ht="15">
      <c r="A107" s="311">
        <v>69</v>
      </c>
      <c r="B107" s="74" t="s">
        <v>369</v>
      </c>
      <c r="C107" s="75" t="str">
        <f>'приложение 4'!E549</f>
        <v>0 320088270</v>
      </c>
      <c r="D107" s="75">
        <v>610</v>
      </c>
      <c r="E107" s="86" t="s">
        <v>386</v>
      </c>
      <c r="F107" s="167">
        <f>'приложение 4'!G551</f>
        <v>1246.77</v>
      </c>
      <c r="G107" s="167">
        <f>'приложение 4'!H551</f>
        <v>1246.77</v>
      </c>
      <c r="H107" s="167">
        <f>'приложение 4'!I551</f>
        <v>1246.77</v>
      </c>
    </row>
    <row r="108" spans="1:8" ht="62.4">
      <c r="A108" s="311">
        <v>70</v>
      </c>
      <c r="B108" s="137" t="s">
        <v>430</v>
      </c>
      <c r="C108" s="90" t="str">
        <f>'приложение 4'!E553</f>
        <v>0 3200S5620</v>
      </c>
      <c r="D108" s="90">
        <v>610</v>
      </c>
      <c r="E108" s="90" t="s">
        <v>420</v>
      </c>
      <c r="F108" s="167">
        <f>'приложение 4'!G554</f>
        <v>1141</v>
      </c>
      <c r="G108" s="167">
        <f>'приложение 4'!H554</f>
        <v>0</v>
      </c>
      <c r="H108" s="167">
        <f>'приложение 4'!I554</f>
        <v>0</v>
      </c>
    </row>
    <row r="109" spans="1:8" ht="15">
      <c r="A109" s="311">
        <v>71</v>
      </c>
      <c r="B109" s="4" t="s">
        <v>265</v>
      </c>
      <c r="C109" s="75" t="s">
        <v>266</v>
      </c>
      <c r="D109" s="59"/>
      <c r="E109" s="59"/>
      <c r="F109" s="169">
        <f>F110+F112+F113+F114+F111</f>
        <v>17909.39</v>
      </c>
      <c r="G109" s="169">
        <f aca="true" t="shared" si="13" ref="G109:H109">G110+G112+G113+G114</f>
        <v>18026.02</v>
      </c>
      <c r="H109" s="169">
        <f t="shared" si="13"/>
        <v>18026.02</v>
      </c>
    </row>
    <row r="110" spans="1:8" ht="31.2">
      <c r="A110" s="311">
        <v>72</v>
      </c>
      <c r="B110" s="121" t="s">
        <v>138</v>
      </c>
      <c r="C110" s="122" t="str">
        <f>'приложение 4'!E559</f>
        <v>0 330000660</v>
      </c>
      <c r="D110" s="75">
        <v>610</v>
      </c>
      <c r="E110" s="86" t="s">
        <v>386</v>
      </c>
      <c r="F110" s="167">
        <f>'приложение 4'!G561</f>
        <v>16428.27</v>
      </c>
      <c r="G110" s="167">
        <f>'приложение 4'!H561</f>
        <v>16858.4</v>
      </c>
      <c r="H110" s="167">
        <f>'приложение 4'!I561</f>
        <v>16858.4</v>
      </c>
    </row>
    <row r="111" spans="1:8" ht="93.6">
      <c r="A111" s="311">
        <v>73</v>
      </c>
      <c r="B111" s="229" t="s">
        <v>578</v>
      </c>
      <c r="C111" s="38" t="s">
        <v>579</v>
      </c>
      <c r="D111" s="228">
        <v>610</v>
      </c>
      <c r="E111" s="228" t="s">
        <v>386</v>
      </c>
      <c r="F111" s="230">
        <f>'приложение 4'!G564</f>
        <v>313.5</v>
      </c>
      <c r="G111" s="230">
        <f>'приложение 4'!H564</f>
        <v>0</v>
      </c>
      <c r="H111" s="230">
        <f>'приложение 4'!I564</f>
        <v>0</v>
      </c>
    </row>
    <row r="112" spans="1:8" ht="31.2">
      <c r="A112" s="311">
        <v>74</v>
      </c>
      <c r="B112" s="10" t="s">
        <v>367</v>
      </c>
      <c r="C112" s="75" t="str">
        <f>'приложение 4'!E565</f>
        <v>0 330080210</v>
      </c>
      <c r="D112" s="75">
        <v>610</v>
      </c>
      <c r="E112" s="86" t="s">
        <v>386</v>
      </c>
      <c r="F112" s="167">
        <f>'приложение 4'!G567</f>
        <v>105</v>
      </c>
      <c r="G112" s="167">
        <f>'приложение 4'!H567</f>
        <v>105</v>
      </c>
      <c r="H112" s="167">
        <f>'приложение 4'!I567</f>
        <v>105</v>
      </c>
    </row>
    <row r="113" spans="1:8" ht="31.2">
      <c r="A113" s="311">
        <v>75</v>
      </c>
      <c r="B113" s="79" t="s">
        <v>421</v>
      </c>
      <c r="C113" s="90" t="str">
        <f>'приложение 4'!E568</f>
        <v>0 330088190</v>
      </c>
      <c r="D113" s="90">
        <v>610</v>
      </c>
      <c r="E113" s="90" t="s">
        <v>420</v>
      </c>
      <c r="F113" s="167">
        <f>'приложение 4'!G570</f>
        <v>200</v>
      </c>
      <c r="G113" s="167">
        <f>'приложение 4'!H570</f>
        <v>200</v>
      </c>
      <c r="H113" s="167">
        <f>'приложение 4'!I570</f>
        <v>200</v>
      </c>
    </row>
    <row r="114" spans="1:8" ht="15">
      <c r="A114" s="311">
        <v>76</v>
      </c>
      <c r="B114" s="79" t="s">
        <v>423</v>
      </c>
      <c r="C114" s="90" t="str">
        <f>'приложение 4'!E571</f>
        <v>0 330088200</v>
      </c>
      <c r="D114" s="90">
        <v>610</v>
      </c>
      <c r="E114" s="90" t="s">
        <v>420</v>
      </c>
      <c r="F114" s="167">
        <f>'приложение 4'!G573</f>
        <v>862.62</v>
      </c>
      <c r="G114" s="167">
        <f>'приложение 4'!H573</f>
        <v>862.62</v>
      </c>
      <c r="H114" s="167">
        <f>'приложение 4'!I573</f>
        <v>862.62</v>
      </c>
    </row>
    <row r="115" spans="1:8" ht="15">
      <c r="A115" s="311">
        <v>77</v>
      </c>
      <c r="B115" s="4" t="s">
        <v>109</v>
      </c>
      <c r="C115" s="75" t="s">
        <v>111</v>
      </c>
      <c r="D115" s="75"/>
      <c r="E115" s="75"/>
      <c r="F115" s="167">
        <f>F117+F118+F119+F124+F125+F126+F127+F128+F116+F122+F123+F121+F120</f>
        <v>25864.019999999997</v>
      </c>
      <c r="G115" s="167">
        <f aca="true" t="shared" si="14" ref="G115:H115">G117+G118+G119+G124+G125+G126+G127+G128+G116+G122+G123+G121</f>
        <v>24931.46</v>
      </c>
      <c r="H115" s="167">
        <f t="shared" si="14"/>
        <v>24931.46</v>
      </c>
    </row>
    <row r="116" spans="1:8" ht="62.4">
      <c r="A116" s="311">
        <v>78</v>
      </c>
      <c r="B116" s="119" t="s">
        <v>463</v>
      </c>
      <c r="C116" s="122" t="str">
        <f>'приложение 4'!E579</f>
        <v>0 34007397Д</v>
      </c>
      <c r="D116" s="122">
        <v>240</v>
      </c>
      <c r="E116" s="122" t="s">
        <v>316</v>
      </c>
      <c r="F116" s="167">
        <f>'приложение 4'!G579</f>
        <v>498.6</v>
      </c>
      <c r="G116" s="167">
        <f>'приложение 4'!H579</f>
        <v>498.6</v>
      </c>
      <c r="H116" s="167">
        <f>'приложение 4'!I579</f>
        <v>498.6</v>
      </c>
    </row>
    <row r="117" spans="1:8" ht="31.2">
      <c r="A117" s="311">
        <v>79</v>
      </c>
      <c r="B117" s="74" t="s">
        <v>315</v>
      </c>
      <c r="C117" s="75" t="str">
        <f>'приложение 4'!E580</f>
        <v>0 340088220</v>
      </c>
      <c r="D117" s="75">
        <v>240</v>
      </c>
      <c r="E117" s="86" t="s">
        <v>316</v>
      </c>
      <c r="F117" s="167">
        <f>'приложение 4'!G582</f>
        <v>342</v>
      </c>
      <c r="G117" s="167">
        <f>'приложение 4'!H582</f>
        <v>342</v>
      </c>
      <c r="H117" s="167">
        <f>'приложение 4'!I582</f>
        <v>342</v>
      </c>
    </row>
    <row r="118" spans="1:8" ht="15">
      <c r="A118" s="318">
        <v>80</v>
      </c>
      <c r="B118" s="329" t="s">
        <v>308</v>
      </c>
      <c r="C118" s="318" t="str">
        <f>'приложение 4'!E586</f>
        <v>0 340000610</v>
      </c>
      <c r="D118" s="75">
        <v>110</v>
      </c>
      <c r="E118" s="86" t="s">
        <v>406</v>
      </c>
      <c r="F118" s="167">
        <f>'приложение 4'!G588</f>
        <v>14819.509999999998</v>
      </c>
      <c r="G118" s="167">
        <f>'приложение 4'!H588</f>
        <v>12116.56</v>
      </c>
      <c r="H118" s="167">
        <f>'приложение 4'!I588</f>
        <v>12116.56</v>
      </c>
    </row>
    <row r="119" spans="1:8" ht="15">
      <c r="A119" s="319"/>
      <c r="B119" s="325"/>
      <c r="C119" s="319"/>
      <c r="D119" s="75">
        <v>240</v>
      </c>
      <c r="E119" s="86" t="s">
        <v>406</v>
      </c>
      <c r="F119" s="167">
        <f>'приложение 4'!G590</f>
        <v>6659.41</v>
      </c>
      <c r="G119" s="167">
        <f>'приложение 4'!H590</f>
        <v>2245.18</v>
      </c>
      <c r="H119" s="167">
        <f>'приложение 4'!I590</f>
        <v>2245.18</v>
      </c>
    </row>
    <row r="120" spans="1:8" ht="15">
      <c r="A120" s="319"/>
      <c r="B120" s="325"/>
      <c r="C120" s="319"/>
      <c r="D120" s="228">
        <v>830</v>
      </c>
      <c r="E120" s="228" t="s">
        <v>406</v>
      </c>
      <c r="F120" s="230">
        <f>'приложение 4'!G592</f>
        <v>1</v>
      </c>
      <c r="G120" s="230">
        <f>'приложение 4'!H592</f>
        <v>0</v>
      </c>
      <c r="H120" s="230">
        <f>'приложение 4'!I592</f>
        <v>0</v>
      </c>
    </row>
    <row r="121" spans="1:8" ht="15">
      <c r="A121" s="320"/>
      <c r="B121" s="326"/>
      <c r="C121" s="320"/>
      <c r="D121" s="150">
        <v>850</v>
      </c>
      <c r="E121" s="150" t="s">
        <v>406</v>
      </c>
      <c r="F121" s="167">
        <f>'приложение 4'!G593</f>
        <v>38.769999999999996</v>
      </c>
      <c r="G121" s="167">
        <f>'приложение 4'!H593</f>
        <v>10</v>
      </c>
      <c r="H121" s="167">
        <f>'приложение 4'!I593</f>
        <v>10</v>
      </c>
    </row>
    <row r="122" spans="1:8" ht="31.2">
      <c r="A122" s="311">
        <v>81</v>
      </c>
      <c r="B122" s="128" t="s">
        <v>471</v>
      </c>
      <c r="C122" s="127" t="str">
        <f>'приложение 4'!E594</f>
        <v>0 340000620</v>
      </c>
      <c r="D122" s="127">
        <v>610</v>
      </c>
      <c r="E122" s="127" t="s">
        <v>406</v>
      </c>
      <c r="F122" s="167">
        <f>'приложение 4'!G596</f>
        <v>83.42999999999984</v>
      </c>
      <c r="G122" s="167">
        <f>'приложение 4'!H596</f>
        <v>3655.23</v>
      </c>
      <c r="H122" s="167">
        <f>'приложение 4'!I596</f>
        <v>3655.23</v>
      </c>
    </row>
    <row r="123" spans="1:8" ht="31.2">
      <c r="A123" s="311">
        <v>82</v>
      </c>
      <c r="B123" s="128" t="s">
        <v>473</v>
      </c>
      <c r="C123" s="127" t="str">
        <f>'приложение 4'!E599</f>
        <v>0 340000630</v>
      </c>
      <c r="D123" s="127">
        <v>610</v>
      </c>
      <c r="E123" s="127" t="s">
        <v>406</v>
      </c>
      <c r="F123" s="167">
        <f>'приложение 4'!G599</f>
        <v>0</v>
      </c>
      <c r="G123" s="167">
        <f>'приложение 4'!H599</f>
        <v>2498.59</v>
      </c>
      <c r="H123" s="167">
        <f>'приложение 4'!I599</f>
        <v>2498.59</v>
      </c>
    </row>
    <row r="124" spans="1:8" ht="15">
      <c r="A124" s="324">
        <v>83</v>
      </c>
      <c r="B124" s="339" t="s">
        <v>328</v>
      </c>
      <c r="C124" s="324" t="str">
        <f>'приложение 4'!E312</f>
        <v>0 340075520</v>
      </c>
      <c r="D124" s="75">
        <v>120</v>
      </c>
      <c r="E124" s="86" t="s">
        <v>406</v>
      </c>
      <c r="F124" s="167">
        <f>'приложение 4'!G314</f>
        <v>975.26</v>
      </c>
      <c r="G124" s="167">
        <f>'приложение 4'!H314</f>
        <v>963.11</v>
      </c>
      <c r="H124" s="167">
        <f>'приложение 4'!I314</f>
        <v>963.11</v>
      </c>
    </row>
    <row r="125" spans="1:8" ht="15">
      <c r="A125" s="324"/>
      <c r="B125" s="339"/>
      <c r="C125" s="324"/>
      <c r="D125" s="106">
        <v>240</v>
      </c>
      <c r="E125" s="106" t="s">
        <v>436</v>
      </c>
      <c r="F125" s="167">
        <f>'приложение 4'!G316</f>
        <v>359.53999999999996</v>
      </c>
      <c r="G125" s="167">
        <f>'приложение 4'!H316</f>
        <v>371.69</v>
      </c>
      <c r="H125" s="167">
        <f>'приложение 4'!I316</f>
        <v>371.69</v>
      </c>
    </row>
    <row r="126" spans="1:8" ht="15">
      <c r="A126" s="324">
        <v>84</v>
      </c>
      <c r="B126" s="340" t="s">
        <v>310</v>
      </c>
      <c r="C126" s="324" t="str">
        <f>'приложение 4'!E600</f>
        <v>0 340075560</v>
      </c>
      <c r="D126" s="75">
        <v>320</v>
      </c>
      <c r="E126" s="86" t="s">
        <v>406</v>
      </c>
      <c r="F126" s="167">
        <f>'приложение 4'!G602</f>
        <v>1861.69</v>
      </c>
      <c r="G126" s="167">
        <f>'приложение 4'!H602</f>
        <v>1861.69</v>
      </c>
      <c r="H126" s="167">
        <f>'приложение 4'!I602</f>
        <v>1861.69</v>
      </c>
    </row>
    <row r="127" spans="1:8" ht="15">
      <c r="A127" s="324"/>
      <c r="B127" s="340"/>
      <c r="C127" s="324"/>
      <c r="D127" s="75">
        <v>240</v>
      </c>
      <c r="E127" s="86" t="s">
        <v>406</v>
      </c>
      <c r="F127" s="167">
        <f>'приложение 4'!G604</f>
        <v>18.81</v>
      </c>
      <c r="G127" s="167">
        <f>'приложение 4'!H604</f>
        <v>18.81</v>
      </c>
      <c r="H127" s="167">
        <f>'приложение 4'!I604</f>
        <v>18.81</v>
      </c>
    </row>
    <row r="128" spans="1:8" ht="15">
      <c r="A128" s="311">
        <v>85</v>
      </c>
      <c r="B128" s="11" t="s">
        <v>371</v>
      </c>
      <c r="C128" s="75" t="str">
        <f>'приложение 4'!E605</f>
        <v>0 340088240</v>
      </c>
      <c r="D128" s="75">
        <v>240</v>
      </c>
      <c r="E128" s="86" t="s">
        <v>406</v>
      </c>
      <c r="F128" s="167">
        <f>'приложение 4'!G607</f>
        <v>206</v>
      </c>
      <c r="G128" s="167">
        <f>'приложение 4'!H607</f>
        <v>350</v>
      </c>
      <c r="H128" s="167">
        <f>'приложение 4'!I607</f>
        <v>350</v>
      </c>
    </row>
    <row r="129" spans="1:8" ht="31.2">
      <c r="A129" s="311">
        <v>86</v>
      </c>
      <c r="B129" s="30" t="s">
        <v>155</v>
      </c>
      <c r="C129" s="47" t="s">
        <v>157</v>
      </c>
      <c r="D129" s="59"/>
      <c r="E129" s="59"/>
      <c r="F129" s="152">
        <f>F130+F133+F143</f>
        <v>5335.430000000001</v>
      </c>
      <c r="G129" s="152">
        <f aca="true" t="shared" si="15" ref="G129:H129">G130+G133+G143</f>
        <v>5136.370000000001</v>
      </c>
      <c r="H129" s="152">
        <f t="shared" si="15"/>
        <v>5136.370000000001</v>
      </c>
    </row>
    <row r="130" spans="1:8" ht="46.8">
      <c r="A130" s="311">
        <v>87</v>
      </c>
      <c r="B130" s="4" t="s">
        <v>267</v>
      </c>
      <c r="C130" s="59" t="s">
        <v>269</v>
      </c>
      <c r="D130" s="59"/>
      <c r="E130" s="59"/>
      <c r="F130" s="169">
        <f>F131+F132</f>
        <v>575.1</v>
      </c>
      <c r="G130" s="169">
        <f aca="true" t="shared" si="16" ref="G130:H130">G131+G132</f>
        <v>71.8</v>
      </c>
      <c r="H130" s="169">
        <f t="shared" si="16"/>
        <v>71.8</v>
      </c>
    </row>
    <row r="131" spans="1:8" ht="15">
      <c r="A131" s="311">
        <v>88</v>
      </c>
      <c r="B131" s="136" t="s">
        <v>431</v>
      </c>
      <c r="C131" s="59" t="str">
        <f>'приложение 4'!E639</f>
        <v>0 410086010</v>
      </c>
      <c r="D131" s="59">
        <v>610</v>
      </c>
      <c r="E131" s="88" t="s">
        <v>316</v>
      </c>
      <c r="F131" s="169">
        <f>'приложение 4'!G641</f>
        <v>71.8</v>
      </c>
      <c r="G131" s="169">
        <f>'приложение 4'!H641</f>
        <v>71.8</v>
      </c>
      <c r="H131" s="169">
        <f>'приложение 4'!I641</f>
        <v>71.8</v>
      </c>
    </row>
    <row r="132" spans="1:8" ht="93.6">
      <c r="A132" s="311">
        <v>89</v>
      </c>
      <c r="B132" s="185" t="s">
        <v>542</v>
      </c>
      <c r="C132" s="183" t="s">
        <v>543</v>
      </c>
      <c r="D132" s="183">
        <v>610</v>
      </c>
      <c r="E132" s="183" t="s">
        <v>316</v>
      </c>
      <c r="F132" s="169">
        <f>'приложение 4'!G644</f>
        <v>503.3</v>
      </c>
      <c r="G132" s="169">
        <f>'приложение 4'!H644</f>
        <v>0</v>
      </c>
      <c r="H132" s="169">
        <f>'приложение 4'!I644</f>
        <v>0</v>
      </c>
    </row>
    <row r="133" spans="1:8" ht="46.8">
      <c r="A133" s="311">
        <v>90</v>
      </c>
      <c r="B133" s="4" t="s">
        <v>268</v>
      </c>
      <c r="C133" s="59" t="s">
        <v>158</v>
      </c>
      <c r="D133" s="59"/>
      <c r="E133" s="59"/>
      <c r="F133" s="169">
        <f>F134+F135+F136+F137+F138+F139+F140+F141</f>
        <v>4560.330000000001</v>
      </c>
      <c r="G133" s="169">
        <f aca="true" t="shared" si="17" ref="G133:H133">G134+G135+G136+G137+G138+G139+G140+G141</f>
        <v>4864.570000000001</v>
      </c>
      <c r="H133" s="169">
        <f t="shared" si="17"/>
        <v>4864.570000000001</v>
      </c>
    </row>
    <row r="134" spans="1:8" ht="15">
      <c r="A134" s="311">
        <v>91</v>
      </c>
      <c r="B134" s="112" t="s">
        <v>154</v>
      </c>
      <c r="C134" s="114" t="str">
        <f>'приложение 4'!E646</f>
        <v>0 420000610</v>
      </c>
      <c r="D134" s="75">
        <v>610</v>
      </c>
      <c r="E134" s="86" t="s">
        <v>316</v>
      </c>
      <c r="F134" s="167">
        <f>'приложение 4'!G648</f>
        <v>4112.35</v>
      </c>
      <c r="G134" s="167">
        <f>'приложение 4'!H648</f>
        <v>4416.62</v>
      </c>
      <c r="H134" s="167">
        <f>'приложение 4'!I648</f>
        <v>4416.62</v>
      </c>
    </row>
    <row r="135" spans="1:8" ht="46.8">
      <c r="A135" s="311">
        <v>92</v>
      </c>
      <c r="B135" s="12" t="s">
        <v>193</v>
      </c>
      <c r="C135" s="75" t="str">
        <f>'приложение 4'!E649</f>
        <v>0 420074560</v>
      </c>
      <c r="D135" s="75">
        <v>610</v>
      </c>
      <c r="E135" s="86" t="s">
        <v>316</v>
      </c>
      <c r="F135" s="167">
        <f>'приложение 4'!G651</f>
        <v>263.3</v>
      </c>
      <c r="G135" s="167">
        <f>'приложение 4'!H651</f>
        <v>263.3</v>
      </c>
      <c r="H135" s="167">
        <f>'приложение 4'!I651</f>
        <v>263.3</v>
      </c>
    </row>
    <row r="136" spans="1:8" ht="46.8">
      <c r="A136" s="311">
        <v>93</v>
      </c>
      <c r="B136" s="12" t="s">
        <v>195</v>
      </c>
      <c r="C136" s="75" t="str">
        <f>'приложение 4'!E652</f>
        <v>0 4200S4560</v>
      </c>
      <c r="D136" s="75">
        <v>610</v>
      </c>
      <c r="E136" s="86" t="s">
        <v>316</v>
      </c>
      <c r="F136" s="167">
        <f>'приложение 4'!G654</f>
        <v>26.330000000000002</v>
      </c>
      <c r="G136" s="167">
        <f>'приложение 4'!H654</f>
        <v>26.3</v>
      </c>
      <c r="H136" s="167">
        <f>'приложение 4'!I654</f>
        <v>26.3</v>
      </c>
    </row>
    <row r="137" spans="1:8" ht="15">
      <c r="A137" s="311">
        <v>94</v>
      </c>
      <c r="B137" s="10" t="s">
        <v>346</v>
      </c>
      <c r="C137" s="75" t="str">
        <f>'приложение 4'!E655</f>
        <v>0 420086030</v>
      </c>
      <c r="D137" s="75">
        <v>610</v>
      </c>
      <c r="E137" s="86" t="s">
        <v>316</v>
      </c>
      <c r="F137" s="167">
        <f>'приложение 4'!G657</f>
        <v>33.75</v>
      </c>
      <c r="G137" s="167">
        <f>'приложение 4'!H657</f>
        <v>33.75</v>
      </c>
      <c r="H137" s="167">
        <f>'приложение 4'!I657</f>
        <v>33.75</v>
      </c>
    </row>
    <row r="138" spans="1:8" ht="31.2">
      <c r="A138" s="311">
        <v>95</v>
      </c>
      <c r="B138" s="10" t="s">
        <v>347</v>
      </c>
      <c r="C138" s="75" t="str">
        <f>'приложение 4'!E658</f>
        <v>0 420086040</v>
      </c>
      <c r="D138" s="75">
        <v>610</v>
      </c>
      <c r="E138" s="86" t="s">
        <v>316</v>
      </c>
      <c r="F138" s="167">
        <f>'приложение 4'!G660</f>
        <v>27.6</v>
      </c>
      <c r="G138" s="167">
        <f>'приложение 4'!H660</f>
        <v>27.6</v>
      </c>
      <c r="H138" s="167">
        <f>'приложение 4'!I660</f>
        <v>27.6</v>
      </c>
    </row>
    <row r="139" spans="1:8" ht="15">
      <c r="A139" s="311">
        <v>96</v>
      </c>
      <c r="B139" s="10" t="s">
        <v>350</v>
      </c>
      <c r="C139" s="75" t="str">
        <f>'приложение 4'!E661</f>
        <v>0 420086050</v>
      </c>
      <c r="D139" s="75">
        <v>610</v>
      </c>
      <c r="E139" s="86" t="s">
        <v>316</v>
      </c>
      <c r="F139" s="167">
        <f>'приложение 4'!G663</f>
        <v>12.5</v>
      </c>
      <c r="G139" s="167">
        <f>'приложение 4'!H663</f>
        <v>12.5</v>
      </c>
      <c r="H139" s="167">
        <f>'приложение 4'!I663</f>
        <v>12.5</v>
      </c>
    </row>
    <row r="140" spans="1:8" ht="31.2">
      <c r="A140" s="311">
        <v>97</v>
      </c>
      <c r="B140" s="137" t="s">
        <v>432</v>
      </c>
      <c r="C140" s="75" t="str">
        <f>'приложение 4'!E664</f>
        <v>0 420086060</v>
      </c>
      <c r="D140" s="75">
        <v>610</v>
      </c>
      <c r="E140" s="86" t="s">
        <v>316</v>
      </c>
      <c r="F140" s="167">
        <f>'приложение 4'!G666</f>
        <v>84.5</v>
      </c>
      <c r="G140" s="167">
        <f>'приложение 4'!H666</f>
        <v>84.5</v>
      </c>
      <c r="H140" s="167">
        <f>'приложение 4'!I666</f>
        <v>84.5</v>
      </c>
    </row>
    <row r="141" spans="1:8" ht="15">
      <c r="A141" s="311">
        <v>98</v>
      </c>
      <c r="B141" s="91" t="s">
        <v>416</v>
      </c>
      <c r="C141" s="75" t="str">
        <f>'приложение 4'!E668</f>
        <v>0 420087010</v>
      </c>
      <c r="D141" s="75">
        <v>610</v>
      </c>
      <c r="E141" s="86" t="s">
        <v>316</v>
      </c>
      <c r="F141" s="167">
        <f>'приложение 4'!G668</f>
        <v>0</v>
      </c>
      <c r="G141" s="167">
        <f>'приложение 4'!H668</f>
        <v>0</v>
      </c>
      <c r="H141" s="167">
        <f>'приложение 4'!I668</f>
        <v>0</v>
      </c>
    </row>
    <row r="142" spans="1:8" ht="31.2">
      <c r="A142" s="311">
        <v>99</v>
      </c>
      <c r="B142" s="82" t="s">
        <v>485</v>
      </c>
      <c r="C142" s="129" t="s">
        <v>483</v>
      </c>
      <c r="D142" s="129"/>
      <c r="E142" s="129"/>
      <c r="F142" s="167">
        <f>F143</f>
        <v>200</v>
      </c>
      <c r="G142" s="167">
        <f aca="true" t="shared" si="18" ref="G142:H142">G143</f>
        <v>200</v>
      </c>
      <c r="H142" s="167">
        <f t="shared" si="18"/>
        <v>200</v>
      </c>
    </row>
    <row r="143" spans="1:8" ht="15">
      <c r="A143" s="311">
        <v>100</v>
      </c>
      <c r="B143" s="76" t="s">
        <v>486</v>
      </c>
      <c r="C143" s="129" t="str">
        <f>'приложение 4'!E747</f>
        <v>0 430086070</v>
      </c>
      <c r="D143" s="129">
        <v>610</v>
      </c>
      <c r="E143" s="129">
        <v>1101</v>
      </c>
      <c r="F143" s="167">
        <f>'приложение 4'!G747</f>
        <v>200</v>
      </c>
      <c r="G143" s="167">
        <f>'приложение 4'!H747</f>
        <v>200</v>
      </c>
      <c r="H143" s="167">
        <f>'приложение 4'!I747</f>
        <v>200</v>
      </c>
    </row>
    <row r="144" spans="1:8" ht="31.2">
      <c r="A144" s="311">
        <v>101</v>
      </c>
      <c r="B144" s="110" t="s">
        <v>20</v>
      </c>
      <c r="C144" s="111" t="s">
        <v>23</v>
      </c>
      <c r="D144" s="111"/>
      <c r="E144" s="111"/>
      <c r="F144" s="154">
        <f>F145+F149</f>
        <v>103867.5</v>
      </c>
      <c r="G144" s="154">
        <f aca="true" t="shared" si="19" ref="G144:H144">G145+G149</f>
        <v>77534.58</v>
      </c>
      <c r="H144" s="154">
        <f t="shared" si="19"/>
        <v>77534.58</v>
      </c>
    </row>
    <row r="145" spans="1:8" ht="62.4">
      <c r="A145" s="311">
        <v>102</v>
      </c>
      <c r="B145" s="4" t="s">
        <v>46</v>
      </c>
      <c r="C145" s="59" t="s">
        <v>47</v>
      </c>
      <c r="D145" s="59"/>
      <c r="E145" s="59"/>
      <c r="F145" s="169">
        <f>F146+F147+F148</f>
        <v>93591.87</v>
      </c>
      <c r="G145" s="169">
        <f aca="true" t="shared" si="20" ref="G145:H145">G146+G147+G148</f>
        <v>67331.44</v>
      </c>
      <c r="H145" s="169">
        <f t="shared" si="20"/>
        <v>67331.44</v>
      </c>
    </row>
    <row r="146" spans="1:8" ht="62.4">
      <c r="A146" s="311">
        <v>103</v>
      </c>
      <c r="B146" s="6" t="s">
        <v>48</v>
      </c>
      <c r="C146" s="75" t="str">
        <f>'приложение 4'!E162</f>
        <v>0 510076010</v>
      </c>
      <c r="D146" s="75">
        <v>510</v>
      </c>
      <c r="E146" s="86" t="s">
        <v>398</v>
      </c>
      <c r="F146" s="168">
        <f>'приложение 4'!G164</f>
        <v>18059.8</v>
      </c>
      <c r="G146" s="168">
        <f>'приложение 4'!H164</f>
        <v>8793</v>
      </c>
      <c r="H146" s="168">
        <f>'приложение 4'!I164</f>
        <v>8793</v>
      </c>
    </row>
    <row r="147" spans="1:8" ht="62.4">
      <c r="A147" s="311">
        <v>104</v>
      </c>
      <c r="B147" s="6" t="s">
        <v>51</v>
      </c>
      <c r="C147" s="75" t="str">
        <f>'приложение 4'!E165</f>
        <v>0 510050010</v>
      </c>
      <c r="D147" s="75">
        <v>510</v>
      </c>
      <c r="E147" s="86" t="s">
        <v>398</v>
      </c>
      <c r="F147" s="168">
        <f>'приложение 4'!G167</f>
        <v>27969.13</v>
      </c>
      <c r="G147" s="168">
        <f>'приложение 4'!H167</f>
        <v>27969.13</v>
      </c>
      <c r="H147" s="168">
        <f>'приложение 4'!I167</f>
        <v>27969.13</v>
      </c>
    </row>
    <row r="148" spans="1:8" ht="46.8">
      <c r="A148" s="311">
        <v>105</v>
      </c>
      <c r="B148" s="6" t="s">
        <v>54</v>
      </c>
      <c r="C148" s="75" t="str">
        <f>'приложение 4'!E171</f>
        <v>0 510050030</v>
      </c>
      <c r="D148" s="75">
        <v>540</v>
      </c>
      <c r="E148" s="86" t="s">
        <v>399</v>
      </c>
      <c r="F148" s="168">
        <f>'приложение 4'!G173</f>
        <v>47562.939999999995</v>
      </c>
      <c r="G148" s="168">
        <f>'приложение 4'!H173</f>
        <v>30569.31</v>
      </c>
      <c r="H148" s="168">
        <f>'приложение 4'!I173</f>
        <v>30569.31</v>
      </c>
    </row>
    <row r="149" spans="1:8" ht="31.2">
      <c r="A149" s="311">
        <v>106</v>
      </c>
      <c r="B149" s="4" t="s">
        <v>21</v>
      </c>
      <c r="C149" s="58" t="s">
        <v>22</v>
      </c>
      <c r="D149" s="58"/>
      <c r="E149" s="58"/>
      <c r="F149" s="171">
        <f>F150+F151+F152</f>
        <v>10275.63</v>
      </c>
      <c r="G149" s="171">
        <f aca="true" t="shared" si="21" ref="G149:H149">G150+G151+G152</f>
        <v>10203.14</v>
      </c>
      <c r="H149" s="171">
        <f t="shared" si="21"/>
        <v>10203.14</v>
      </c>
    </row>
    <row r="150" spans="1:8" ht="15.75" customHeight="1">
      <c r="A150" s="318">
        <v>107</v>
      </c>
      <c r="B150" s="334" t="s">
        <v>324</v>
      </c>
      <c r="C150" s="318" t="str">
        <f>'приложение 4'!E32</f>
        <v>0 520000210</v>
      </c>
      <c r="D150" s="75">
        <v>120</v>
      </c>
      <c r="E150" s="87" t="s">
        <v>19</v>
      </c>
      <c r="F150" s="167">
        <f>'приложение 4'!G34</f>
        <v>8567.289999999999</v>
      </c>
      <c r="G150" s="167">
        <f>'приложение 4'!H34</f>
        <v>8651.56</v>
      </c>
      <c r="H150" s="167">
        <f>'приложение 4'!I34</f>
        <v>8651.56</v>
      </c>
    </row>
    <row r="151" spans="1:8" ht="15">
      <c r="A151" s="319"/>
      <c r="B151" s="335"/>
      <c r="C151" s="319"/>
      <c r="D151" s="75">
        <v>240</v>
      </c>
      <c r="E151" s="87" t="s">
        <v>19</v>
      </c>
      <c r="F151" s="167">
        <f>'приложение 4'!G36</f>
        <v>1697.3</v>
      </c>
      <c r="G151" s="167">
        <f>'приложение 4'!H36</f>
        <v>1549.58</v>
      </c>
      <c r="H151" s="167">
        <f>'приложение 4'!I36</f>
        <v>1549.58</v>
      </c>
    </row>
    <row r="152" spans="1:8" ht="15">
      <c r="A152" s="320"/>
      <c r="B152" s="336"/>
      <c r="C152" s="320"/>
      <c r="D152" s="142">
        <v>850</v>
      </c>
      <c r="E152" s="144" t="s">
        <v>19</v>
      </c>
      <c r="F152" s="167">
        <f>'приложение 4'!G38</f>
        <v>11.04</v>
      </c>
      <c r="G152" s="167">
        <f>'приложение 4'!H38</f>
        <v>2</v>
      </c>
      <c r="H152" s="167">
        <f>'приложение 4'!I38</f>
        <v>2</v>
      </c>
    </row>
    <row r="153" spans="1:8" ht="31.2">
      <c r="A153" s="311">
        <v>108</v>
      </c>
      <c r="B153" s="110" t="s">
        <v>60</v>
      </c>
      <c r="C153" s="111" t="s">
        <v>61</v>
      </c>
      <c r="D153" s="111"/>
      <c r="E153" s="111"/>
      <c r="F153" s="154">
        <f>F154+F158+F164+F168</f>
        <v>52768.969999999994</v>
      </c>
      <c r="G153" s="154">
        <f>G154+G158+G164+G168</f>
        <v>47834.509999999995</v>
      </c>
      <c r="H153" s="154">
        <f>H154+H158+H164+H168</f>
        <v>52834.509999999995</v>
      </c>
    </row>
    <row r="154" spans="1:8" ht="31.2">
      <c r="A154" s="311">
        <v>109</v>
      </c>
      <c r="B154" s="4" t="s">
        <v>466</v>
      </c>
      <c r="C154" s="59" t="s">
        <v>62</v>
      </c>
      <c r="D154" s="59"/>
      <c r="E154" s="59"/>
      <c r="F154" s="171">
        <f>F155+F156+F157</f>
        <v>23497.899999999994</v>
      </c>
      <c r="G154" s="171">
        <f aca="true" t="shared" si="22" ref="G154:H154">G155+G156+G157</f>
        <v>24419.35</v>
      </c>
      <c r="H154" s="171">
        <f t="shared" si="22"/>
        <v>24419.35</v>
      </c>
    </row>
    <row r="155" spans="1:8" ht="15">
      <c r="A155" s="324">
        <v>110</v>
      </c>
      <c r="B155" s="328" t="s">
        <v>63</v>
      </c>
      <c r="C155" s="324" t="str">
        <f>'приложение 4'!E187</f>
        <v>0 610000210</v>
      </c>
      <c r="D155" s="75">
        <v>120</v>
      </c>
      <c r="E155" s="86" t="s">
        <v>388</v>
      </c>
      <c r="F155" s="168">
        <f>'приложение 4'!G189</f>
        <v>14834.199999999999</v>
      </c>
      <c r="G155" s="168">
        <f>'приложение 4'!H189</f>
        <v>14369.63</v>
      </c>
      <c r="H155" s="168">
        <f>'приложение 4'!I189</f>
        <v>14369.63</v>
      </c>
    </row>
    <row r="156" spans="1:8" ht="15">
      <c r="A156" s="324"/>
      <c r="B156" s="328"/>
      <c r="C156" s="324"/>
      <c r="D156" s="75">
        <v>240</v>
      </c>
      <c r="E156" s="86" t="s">
        <v>388</v>
      </c>
      <c r="F156" s="168">
        <f>'приложение 4'!G191</f>
        <v>8250.369999999997</v>
      </c>
      <c r="G156" s="168">
        <f>'приложение 4'!H191</f>
        <v>9849.72</v>
      </c>
      <c r="H156" s="168">
        <f>'приложение 4'!I191</f>
        <v>9849.72</v>
      </c>
    </row>
    <row r="157" spans="1:8" ht="15">
      <c r="A157" s="324"/>
      <c r="B157" s="328"/>
      <c r="C157" s="324"/>
      <c r="D157" s="106">
        <v>850</v>
      </c>
      <c r="E157" s="106" t="s">
        <v>434</v>
      </c>
      <c r="F157" s="168">
        <f>'приложение 4'!G193</f>
        <v>413.3299999999999</v>
      </c>
      <c r="G157" s="168">
        <f>'приложение 4'!H193</f>
        <v>200</v>
      </c>
      <c r="H157" s="168">
        <f>'приложение 4'!I193</f>
        <v>200</v>
      </c>
    </row>
    <row r="158" spans="1:8" ht="46.8">
      <c r="A158" s="311">
        <v>111</v>
      </c>
      <c r="B158" s="4" t="s">
        <v>190</v>
      </c>
      <c r="C158" s="59" t="s">
        <v>191</v>
      </c>
      <c r="D158" s="59"/>
      <c r="E158" s="59"/>
      <c r="F158" s="171">
        <f>F159+F160+F161+F162+F163</f>
        <v>23111.5</v>
      </c>
      <c r="G158" s="171">
        <f aca="true" t="shared" si="23" ref="G158:H158">G159+G160+G161</f>
        <v>14700.66</v>
      </c>
      <c r="H158" s="171">
        <f t="shared" si="23"/>
        <v>14700.66</v>
      </c>
    </row>
    <row r="159" spans="1:8" ht="15">
      <c r="A159" s="318">
        <v>112</v>
      </c>
      <c r="B159" s="328" t="s">
        <v>187</v>
      </c>
      <c r="C159" s="324" t="str">
        <f>'приложение 4'!E387</f>
        <v>0 620000610</v>
      </c>
      <c r="D159" s="75">
        <v>110</v>
      </c>
      <c r="E159" s="86" t="s">
        <v>186</v>
      </c>
      <c r="F159" s="168">
        <f>'приложение 4'!G389</f>
        <v>18719.44</v>
      </c>
      <c r="G159" s="168">
        <f>'приложение 4'!H389</f>
        <v>13724.96</v>
      </c>
      <c r="H159" s="168">
        <f>'приложение 4'!I389</f>
        <v>13724.96</v>
      </c>
    </row>
    <row r="160" spans="1:8" ht="15">
      <c r="A160" s="319"/>
      <c r="B160" s="328"/>
      <c r="C160" s="324"/>
      <c r="D160" s="75">
        <v>240</v>
      </c>
      <c r="E160" s="86" t="s">
        <v>186</v>
      </c>
      <c r="F160" s="168">
        <f>'приложение 4'!G391</f>
        <v>1347.7</v>
      </c>
      <c r="G160" s="168">
        <f>'приложение 4'!H391</f>
        <v>973.7</v>
      </c>
      <c r="H160" s="168">
        <f>'приложение 4'!I391</f>
        <v>973.7</v>
      </c>
    </row>
    <row r="161" spans="1:8" ht="15">
      <c r="A161" s="319"/>
      <c r="B161" s="328"/>
      <c r="C161" s="324"/>
      <c r="D161" s="108">
        <v>850</v>
      </c>
      <c r="E161" s="108" t="s">
        <v>186</v>
      </c>
      <c r="F161" s="168">
        <f>'приложение 4'!G393</f>
        <v>2</v>
      </c>
      <c r="G161" s="168">
        <f>'приложение 4'!H393</f>
        <v>2</v>
      </c>
      <c r="H161" s="168">
        <f>'приложение 4'!I393</f>
        <v>2</v>
      </c>
    </row>
    <row r="162" spans="1:8" ht="62.4">
      <c r="A162" s="311">
        <v>113</v>
      </c>
      <c r="B162" s="239" t="s">
        <v>587</v>
      </c>
      <c r="C162" s="240" t="s">
        <v>586</v>
      </c>
      <c r="D162" s="240">
        <v>110</v>
      </c>
      <c r="E162" s="240" t="s">
        <v>186</v>
      </c>
      <c r="F162" s="168">
        <f>'приложение 4'!G396</f>
        <v>2500.29</v>
      </c>
      <c r="G162" s="168">
        <f>'приложение 4'!H396</f>
        <v>0</v>
      </c>
      <c r="H162" s="168">
        <f>'приложение 4'!I396</f>
        <v>0</v>
      </c>
    </row>
    <row r="163" spans="1:8" ht="62.4">
      <c r="A163" s="311">
        <v>114</v>
      </c>
      <c r="B163" s="239" t="s">
        <v>589</v>
      </c>
      <c r="C163" s="240" t="s">
        <v>588</v>
      </c>
      <c r="D163" s="240">
        <v>110</v>
      </c>
      <c r="E163" s="240" t="s">
        <v>186</v>
      </c>
      <c r="F163" s="168">
        <f>'приложение 4'!G399</f>
        <v>542.07</v>
      </c>
      <c r="G163" s="168">
        <f>'приложение 4'!H399</f>
        <v>0</v>
      </c>
      <c r="H163" s="168">
        <f>'приложение 4'!I399</f>
        <v>0</v>
      </c>
    </row>
    <row r="164" spans="1:8" ht="46.8">
      <c r="A164" s="313">
        <v>115</v>
      </c>
      <c r="B164" s="4" t="s">
        <v>467</v>
      </c>
      <c r="C164" s="75" t="s">
        <v>337</v>
      </c>
      <c r="D164" s="75"/>
      <c r="E164" s="75"/>
      <c r="F164" s="171">
        <f>F165+F166+F167</f>
        <v>2876.88</v>
      </c>
      <c r="G164" s="171">
        <f aca="true" t="shared" si="24" ref="G164:H164">G165+G166+G167</f>
        <v>3714.5</v>
      </c>
      <c r="H164" s="171">
        <f t="shared" si="24"/>
        <v>3714.5</v>
      </c>
    </row>
    <row r="165" spans="1:8" ht="15">
      <c r="A165" s="324">
        <v>116</v>
      </c>
      <c r="B165" s="328" t="s">
        <v>187</v>
      </c>
      <c r="C165" s="324" t="str">
        <f>'приложение 4'!E375</f>
        <v>0 630000610</v>
      </c>
      <c r="D165" s="75">
        <v>110</v>
      </c>
      <c r="E165" s="46" t="s">
        <v>186</v>
      </c>
      <c r="F165" s="168">
        <f>'приложение 4'!G377</f>
        <v>2588.6800000000003</v>
      </c>
      <c r="G165" s="168">
        <f>'приложение 4'!H377</f>
        <v>3163.3</v>
      </c>
      <c r="H165" s="168">
        <f>'приложение 4'!I377</f>
        <v>3163.3</v>
      </c>
    </row>
    <row r="166" spans="1:8" ht="15">
      <c r="A166" s="324"/>
      <c r="B166" s="328"/>
      <c r="C166" s="324"/>
      <c r="D166" s="75">
        <v>240</v>
      </c>
      <c r="E166" s="87" t="s">
        <v>186</v>
      </c>
      <c r="F166" s="168">
        <f>'приложение 4'!G379</f>
        <v>286.20000000000005</v>
      </c>
      <c r="G166" s="168">
        <f>'приложение 4'!H379</f>
        <v>549.2</v>
      </c>
      <c r="H166" s="168">
        <f>'приложение 4'!I379</f>
        <v>549.2</v>
      </c>
    </row>
    <row r="167" spans="1:8" ht="15">
      <c r="A167" s="324"/>
      <c r="B167" s="328"/>
      <c r="C167" s="324"/>
      <c r="D167" s="108">
        <v>850</v>
      </c>
      <c r="E167" s="109" t="s">
        <v>186</v>
      </c>
      <c r="F167" s="168">
        <f>'приложение 4'!G381</f>
        <v>2</v>
      </c>
      <c r="G167" s="168">
        <f>'приложение 4'!H381</f>
        <v>2</v>
      </c>
      <c r="H167" s="168">
        <f>'приложение 4'!I381</f>
        <v>2</v>
      </c>
    </row>
    <row r="168" spans="1:8" ht="62.4">
      <c r="A168" s="311">
        <v>117</v>
      </c>
      <c r="B168" s="4" t="s">
        <v>468</v>
      </c>
      <c r="C168" s="59" t="s">
        <v>360</v>
      </c>
      <c r="D168" s="59"/>
      <c r="E168" s="59"/>
      <c r="F168" s="169">
        <f>F169+F170+F171</f>
        <v>3282.6899999999996</v>
      </c>
      <c r="G168" s="169">
        <f aca="true" t="shared" si="25" ref="G168:H168">G169+G170+G171</f>
        <v>5000</v>
      </c>
      <c r="H168" s="169">
        <f t="shared" si="25"/>
        <v>10000</v>
      </c>
    </row>
    <row r="169" spans="1:8" ht="62.4">
      <c r="A169" s="311">
        <v>118</v>
      </c>
      <c r="B169" s="138" t="s">
        <v>428</v>
      </c>
      <c r="C169" s="75" t="str">
        <f>'приложение 4'!E42</f>
        <v>0 640095820</v>
      </c>
      <c r="D169" s="75">
        <v>540</v>
      </c>
      <c r="E169" s="86" t="s">
        <v>186</v>
      </c>
      <c r="F169" s="167">
        <f>'приложение 4'!G44</f>
        <v>294.52</v>
      </c>
      <c r="G169" s="167">
        <f>'приложение 4'!H44</f>
        <v>1000</v>
      </c>
      <c r="H169" s="167">
        <f>'приложение 4'!I44</f>
        <v>2000</v>
      </c>
    </row>
    <row r="170" spans="1:8" ht="93.6">
      <c r="A170" s="311">
        <v>119</v>
      </c>
      <c r="B170" s="136" t="s">
        <v>429</v>
      </c>
      <c r="C170" s="75" t="str">
        <f>'приложение 4'!E45</f>
        <v>0 640095830</v>
      </c>
      <c r="D170" s="75">
        <v>540</v>
      </c>
      <c r="E170" s="86" t="s">
        <v>186</v>
      </c>
      <c r="F170" s="167">
        <f>'приложение 4'!G47</f>
        <v>244.48999999999978</v>
      </c>
      <c r="G170" s="167">
        <f>'приложение 4'!H47</f>
        <v>2000</v>
      </c>
      <c r="H170" s="167">
        <f>'приложение 4'!I47</f>
        <v>4000</v>
      </c>
    </row>
    <row r="171" spans="1:8" ht="31.2">
      <c r="A171" s="311">
        <v>120</v>
      </c>
      <c r="B171" s="76" t="s">
        <v>359</v>
      </c>
      <c r="C171" s="46" t="str">
        <f>'приложение 4'!E131</f>
        <v>0 640095810</v>
      </c>
      <c r="D171" s="75">
        <v>540</v>
      </c>
      <c r="E171" s="86" t="s">
        <v>395</v>
      </c>
      <c r="F171" s="167">
        <f>'приложение 4'!G133</f>
        <v>2743.68</v>
      </c>
      <c r="G171" s="167">
        <f>'приложение 4'!H133</f>
        <v>2000</v>
      </c>
      <c r="H171" s="167">
        <f>'приложение 4'!I133</f>
        <v>4000</v>
      </c>
    </row>
    <row r="172" spans="1:8" ht="46.8">
      <c r="A172" s="311">
        <v>121</v>
      </c>
      <c r="B172" s="30" t="s">
        <v>100</v>
      </c>
      <c r="C172" s="47" t="s">
        <v>101</v>
      </c>
      <c r="D172" s="75"/>
      <c r="E172" s="75"/>
      <c r="F172" s="152">
        <f>F173+F175+F176+F180</f>
        <v>104392.5</v>
      </c>
      <c r="G172" s="152">
        <f>G173+G175+G176+G180+G178</f>
        <v>67761.1</v>
      </c>
      <c r="H172" s="152">
        <f>H173+H175+H176+H180+H178</f>
        <v>82761.1</v>
      </c>
    </row>
    <row r="173" spans="1:8" ht="15">
      <c r="A173" s="311">
        <v>122</v>
      </c>
      <c r="B173" s="4" t="s">
        <v>329</v>
      </c>
      <c r="C173" s="59" t="s">
        <v>271</v>
      </c>
      <c r="D173" s="75"/>
      <c r="E173" s="75"/>
      <c r="F173" s="169">
        <f>F174</f>
        <v>2000</v>
      </c>
      <c r="G173" s="169">
        <f aca="true" t="shared" si="26" ref="G173:H173">G174</f>
        <v>10000</v>
      </c>
      <c r="H173" s="169">
        <f t="shared" si="26"/>
        <v>25000</v>
      </c>
    </row>
    <row r="174" spans="1:8" ht="53.25" customHeight="1">
      <c r="A174" s="311">
        <v>123</v>
      </c>
      <c r="B174" s="180" t="s">
        <v>520</v>
      </c>
      <c r="C174" s="179" t="s">
        <v>519</v>
      </c>
      <c r="D174" s="178">
        <v>540</v>
      </c>
      <c r="E174" s="178" t="s">
        <v>394</v>
      </c>
      <c r="F174" s="193">
        <f>'приложение 4'!G112</f>
        <v>2000</v>
      </c>
      <c r="G174" s="193">
        <f>'приложение 4'!H112</f>
        <v>10000</v>
      </c>
      <c r="H174" s="193">
        <f>'приложение 4'!I112</f>
        <v>25000</v>
      </c>
    </row>
    <row r="175" spans="1:8" ht="31.2">
      <c r="A175" s="311">
        <v>124</v>
      </c>
      <c r="B175" s="4" t="s">
        <v>272</v>
      </c>
      <c r="C175" s="59" t="s">
        <v>274</v>
      </c>
      <c r="D175" s="75"/>
      <c r="E175" s="75"/>
      <c r="F175" s="193">
        <v>0</v>
      </c>
      <c r="G175" s="193">
        <v>0</v>
      </c>
      <c r="H175" s="193">
        <v>0</v>
      </c>
    </row>
    <row r="176" spans="1:8" ht="31.2">
      <c r="A176" s="311">
        <v>125</v>
      </c>
      <c r="B176" s="4" t="s">
        <v>273</v>
      </c>
      <c r="C176" s="59" t="s">
        <v>275</v>
      </c>
      <c r="D176" s="75"/>
      <c r="E176" s="75"/>
      <c r="F176" s="193">
        <f>F177+F178+F179</f>
        <v>43783.3</v>
      </c>
      <c r="G176" s="193">
        <f aca="true" t="shared" si="27" ref="G176:H176">G177+G178+G179</f>
        <v>5000</v>
      </c>
      <c r="H176" s="193">
        <f t="shared" si="27"/>
        <v>5000</v>
      </c>
    </row>
    <row r="177" spans="1:8" ht="46.8">
      <c r="A177" s="311">
        <v>126</v>
      </c>
      <c r="B177" s="211" t="s">
        <v>563</v>
      </c>
      <c r="C177" s="59" t="str">
        <f>'приложение 4'!E116</f>
        <v>0 730085200</v>
      </c>
      <c r="D177" s="75">
        <v>540</v>
      </c>
      <c r="E177" s="86" t="s">
        <v>394</v>
      </c>
      <c r="F177" s="193">
        <f>'приложение 4'!G116</f>
        <v>8783.3</v>
      </c>
      <c r="G177" s="193">
        <f>'приложение 4'!H116</f>
        <v>5000</v>
      </c>
      <c r="H177" s="193">
        <f>'приложение 4'!I116</f>
        <v>5000</v>
      </c>
    </row>
    <row r="178" spans="1:8" ht="46.8">
      <c r="A178" s="311">
        <v>127</v>
      </c>
      <c r="B178" s="176" t="s">
        <v>570</v>
      </c>
      <c r="C178" s="223" t="s">
        <v>571</v>
      </c>
      <c r="D178" s="159">
        <v>540</v>
      </c>
      <c r="E178" s="159" t="s">
        <v>394</v>
      </c>
      <c r="F178" s="193">
        <f>'приложение 4'!G119</f>
        <v>35000</v>
      </c>
      <c r="G178" s="193">
        <f>'приложение 4'!H119</f>
        <v>0</v>
      </c>
      <c r="H178" s="193">
        <f>'приложение 4'!I119</f>
        <v>0</v>
      </c>
    </row>
    <row r="179" spans="1:8" ht="78">
      <c r="A179" s="311">
        <v>128</v>
      </c>
      <c r="B179" s="177" t="s">
        <v>517</v>
      </c>
      <c r="C179" s="161" t="s">
        <v>508</v>
      </c>
      <c r="D179" s="160">
        <v>240</v>
      </c>
      <c r="E179" s="160" t="s">
        <v>394</v>
      </c>
      <c r="F179" s="193">
        <f>'приложение 4'!G504</f>
        <v>0</v>
      </c>
      <c r="G179" s="193">
        <f>'приложение 4'!H504</f>
        <v>0</v>
      </c>
      <c r="H179" s="193">
        <f>'приложение 4'!I504</f>
        <v>0</v>
      </c>
    </row>
    <row r="180" spans="1:8" ht="15">
      <c r="A180" s="311">
        <v>129</v>
      </c>
      <c r="B180" s="60" t="s">
        <v>276</v>
      </c>
      <c r="C180" s="59" t="s">
        <v>103</v>
      </c>
      <c r="D180" s="75"/>
      <c r="E180" s="75"/>
      <c r="F180" s="169">
        <f>F181+F182</f>
        <v>58609.200000000004</v>
      </c>
      <c r="G180" s="169">
        <f aca="true" t="shared" si="28" ref="G180:H180">G181+G182</f>
        <v>52761.100000000006</v>
      </c>
      <c r="H180" s="169">
        <f t="shared" si="28"/>
        <v>52761.100000000006</v>
      </c>
    </row>
    <row r="181" spans="1:8" ht="55.2">
      <c r="A181" s="311">
        <v>130</v>
      </c>
      <c r="B181" s="7" t="s">
        <v>326</v>
      </c>
      <c r="C181" s="75" t="str">
        <f>'приложение 4'!E302</f>
        <v>0 790075770</v>
      </c>
      <c r="D181" s="75">
        <v>810</v>
      </c>
      <c r="E181" s="86" t="s">
        <v>394</v>
      </c>
      <c r="F181" s="167">
        <f>'приложение 4'!G304</f>
        <v>22084.4</v>
      </c>
      <c r="G181" s="167">
        <f>'приложение 4'!H304</f>
        <v>22053.9</v>
      </c>
      <c r="H181" s="167">
        <f>'приложение 4'!I304</f>
        <v>22053.9</v>
      </c>
    </row>
    <row r="182" spans="1:8" ht="41.4">
      <c r="A182" s="311">
        <v>131</v>
      </c>
      <c r="B182" s="7" t="s">
        <v>327</v>
      </c>
      <c r="C182" s="75" t="str">
        <f>'приложение 4'!E305</f>
        <v>0 790075700</v>
      </c>
      <c r="D182" s="75">
        <v>810</v>
      </c>
      <c r="E182" s="86" t="s">
        <v>394</v>
      </c>
      <c r="F182" s="167">
        <f>'приложение 4'!G307</f>
        <v>36524.8</v>
      </c>
      <c r="G182" s="167">
        <f>'приложение 4'!H307</f>
        <v>30707.2</v>
      </c>
      <c r="H182" s="167">
        <f>'приложение 4'!I307</f>
        <v>30707.2</v>
      </c>
    </row>
    <row r="183" spans="1:8" ht="46.8">
      <c r="A183" s="311">
        <v>132</v>
      </c>
      <c r="B183" s="31" t="s">
        <v>277</v>
      </c>
      <c r="C183" s="47" t="s">
        <v>179</v>
      </c>
      <c r="D183" s="75"/>
      <c r="E183" s="75"/>
      <c r="F183" s="152">
        <f>F186+F184</f>
        <v>4175.679999999999</v>
      </c>
      <c r="G183" s="152">
        <f aca="true" t="shared" si="29" ref="G183:H183">G186+G184</f>
        <v>2684.0099999999998</v>
      </c>
      <c r="H183" s="152">
        <f t="shared" si="29"/>
        <v>2684.0099999999998</v>
      </c>
    </row>
    <row r="184" spans="1:8" ht="31.2">
      <c r="A184" s="311">
        <v>133</v>
      </c>
      <c r="B184" s="198" t="str">
        <f>'приложение 4'!B57</f>
        <v>Подпрограмма "Обеспечение пожарной безопасности Мотыгинского района"</v>
      </c>
      <c r="C184" s="141" t="s">
        <v>493</v>
      </c>
      <c r="D184" s="142"/>
      <c r="E184" s="142"/>
      <c r="F184" s="193">
        <f>F185</f>
        <v>392.5</v>
      </c>
      <c r="G184" s="193">
        <f aca="true" t="shared" si="30" ref="G184:H184">G185</f>
        <v>0</v>
      </c>
      <c r="H184" s="193">
        <f t="shared" si="30"/>
        <v>0</v>
      </c>
    </row>
    <row r="185" spans="1:8" ht="93.6">
      <c r="A185" s="311">
        <v>134</v>
      </c>
      <c r="B185" s="185" t="s">
        <v>526</v>
      </c>
      <c r="C185" s="183" t="s">
        <v>547</v>
      </c>
      <c r="D185" s="181">
        <v>540</v>
      </c>
      <c r="E185" s="181" t="s">
        <v>522</v>
      </c>
      <c r="F185" s="193">
        <f>'приложение 4'!G60</f>
        <v>392.5</v>
      </c>
      <c r="G185" s="193">
        <f>'приложение 4'!H60</f>
        <v>0</v>
      </c>
      <c r="H185" s="193">
        <f>'приложение 4'!I60</f>
        <v>0</v>
      </c>
    </row>
    <row r="186" spans="1:8" ht="46.8">
      <c r="A186" s="311">
        <v>135</v>
      </c>
      <c r="B186" s="4" t="s">
        <v>178</v>
      </c>
      <c r="C186" s="59" t="s">
        <v>180</v>
      </c>
      <c r="D186" s="75"/>
      <c r="E186" s="75"/>
      <c r="F186" s="193">
        <f>F187+F188+F189+F190+F191+F192</f>
        <v>3783.1799999999994</v>
      </c>
      <c r="G186" s="193">
        <f aca="true" t="shared" si="31" ref="G186:H186">G187+G188+G189+G190+G191</f>
        <v>2684.0099999999998</v>
      </c>
      <c r="H186" s="193">
        <f t="shared" si="31"/>
        <v>2684.0099999999998</v>
      </c>
    </row>
    <row r="187" spans="1:8" ht="15.75" customHeight="1">
      <c r="A187" s="318">
        <v>136</v>
      </c>
      <c r="B187" s="337" t="s">
        <v>25</v>
      </c>
      <c r="C187" s="318" t="str">
        <f>'приложение 4'!E339</f>
        <v>0 820000610</v>
      </c>
      <c r="D187" s="75">
        <v>110</v>
      </c>
      <c r="E187" s="86" t="s">
        <v>413</v>
      </c>
      <c r="F187" s="167">
        <f>'приложение 4'!G340</f>
        <v>2413.2299999999996</v>
      </c>
      <c r="G187" s="167">
        <f>'приложение 4'!H340</f>
        <v>2370.41</v>
      </c>
      <c r="H187" s="167">
        <f>'приложение 4'!I340</f>
        <v>2370.41</v>
      </c>
    </row>
    <row r="188" spans="1:8" ht="15">
      <c r="A188" s="319"/>
      <c r="B188" s="338"/>
      <c r="C188" s="319"/>
      <c r="D188" s="75">
        <v>240</v>
      </c>
      <c r="E188" s="86" t="s">
        <v>413</v>
      </c>
      <c r="F188" s="167">
        <f>'приложение 4'!G342</f>
        <v>355.05</v>
      </c>
      <c r="G188" s="167">
        <f>'приложение 4'!H342</f>
        <v>311.6</v>
      </c>
      <c r="H188" s="167">
        <f>'приложение 4'!I342</f>
        <v>311.6</v>
      </c>
    </row>
    <row r="189" spans="1:8" ht="15">
      <c r="A189" s="320"/>
      <c r="B189" s="356"/>
      <c r="C189" s="320"/>
      <c r="D189" s="150">
        <v>850</v>
      </c>
      <c r="E189" s="150" t="s">
        <v>413</v>
      </c>
      <c r="F189" s="167">
        <f>'приложение 4'!G344</f>
        <v>2</v>
      </c>
      <c r="G189" s="167">
        <f>'приложение 4'!H344</f>
        <v>2</v>
      </c>
      <c r="H189" s="167">
        <f>'приложение 4'!I344</f>
        <v>2</v>
      </c>
    </row>
    <row r="190" spans="1:8" ht="15">
      <c r="A190" s="324">
        <v>137</v>
      </c>
      <c r="B190" s="337" t="s">
        <v>536</v>
      </c>
      <c r="C190" s="318" t="s">
        <v>548</v>
      </c>
      <c r="D190" s="181">
        <v>110</v>
      </c>
      <c r="E190" s="181" t="s">
        <v>413</v>
      </c>
      <c r="F190" s="186">
        <f>'приложение 4'!G347</f>
        <v>867.7</v>
      </c>
      <c r="G190" s="186">
        <f>'приложение 4'!H347</f>
        <v>0</v>
      </c>
      <c r="H190" s="186">
        <f>'приложение 4'!I347</f>
        <v>0</v>
      </c>
    </row>
    <row r="191" spans="1:8" ht="35.25" customHeight="1">
      <c r="A191" s="324"/>
      <c r="B191" s="338"/>
      <c r="C191" s="319"/>
      <c r="D191" s="181">
        <v>240</v>
      </c>
      <c r="E191" s="181" t="s">
        <v>413</v>
      </c>
      <c r="F191" s="186">
        <f>'приложение 4'!G349</f>
        <v>144.1</v>
      </c>
      <c r="G191" s="186">
        <f>'приложение 4'!H349</f>
        <v>0</v>
      </c>
      <c r="H191" s="186">
        <f>'приложение 4'!I349</f>
        <v>0</v>
      </c>
    </row>
    <row r="192" spans="1:8" ht="35.25" customHeight="1">
      <c r="A192" s="311">
        <v>138</v>
      </c>
      <c r="B192" s="207" t="s">
        <v>561</v>
      </c>
      <c r="C192" s="213" t="str">
        <f>'приложение 4'!E352</f>
        <v>08200S4130</v>
      </c>
      <c r="D192" s="206">
        <v>240</v>
      </c>
      <c r="E192" s="206" t="s">
        <v>413</v>
      </c>
      <c r="F192" s="208">
        <f>'приложение 4'!G352</f>
        <v>1.1</v>
      </c>
      <c r="G192" s="208">
        <f>'приложение 4'!H352</f>
        <v>0</v>
      </c>
      <c r="H192" s="208">
        <f>'приложение 4'!I352</f>
        <v>0</v>
      </c>
    </row>
    <row r="193" spans="1:8" ht="46.8">
      <c r="A193" s="311">
        <v>139</v>
      </c>
      <c r="B193" s="31" t="s">
        <v>84</v>
      </c>
      <c r="C193" s="47" t="s">
        <v>85</v>
      </c>
      <c r="D193" s="47"/>
      <c r="E193" s="47"/>
      <c r="F193" s="152">
        <f>F194+F197</f>
        <v>72.82</v>
      </c>
      <c r="G193" s="152">
        <f aca="true" t="shared" si="32" ref="G193:H193">G194+G197</f>
        <v>60</v>
      </c>
      <c r="H193" s="152">
        <f t="shared" si="32"/>
        <v>60</v>
      </c>
    </row>
    <row r="194" spans="1:8" ht="31.2">
      <c r="A194" s="311">
        <v>140</v>
      </c>
      <c r="B194" s="5" t="s">
        <v>600</v>
      </c>
      <c r="C194" s="297" t="s">
        <v>601</v>
      </c>
      <c r="D194" s="47"/>
      <c r="E194" s="47"/>
      <c r="F194" s="294">
        <f>F195+F196</f>
        <v>72.82</v>
      </c>
      <c r="G194" s="152">
        <f aca="true" t="shared" si="33" ref="G194:H194">G195+G196</f>
        <v>0</v>
      </c>
      <c r="H194" s="152">
        <f t="shared" si="33"/>
        <v>0</v>
      </c>
    </row>
    <row r="195" spans="1:8" ht="24" customHeight="1">
      <c r="A195" s="318">
        <v>141</v>
      </c>
      <c r="B195" s="332" t="s">
        <v>86</v>
      </c>
      <c r="C195" s="318" t="s">
        <v>602</v>
      </c>
      <c r="D195" s="295">
        <f>'приложение 4'!F241</f>
        <v>120</v>
      </c>
      <c r="E195" s="295" t="s">
        <v>603</v>
      </c>
      <c r="F195" s="294">
        <f>'приложение 4'!G241</f>
        <v>67.82</v>
      </c>
      <c r="G195" s="294">
        <f>'приложение 4'!H241</f>
        <v>0</v>
      </c>
      <c r="H195" s="294">
        <f>'приложение 4'!I241</f>
        <v>0</v>
      </c>
    </row>
    <row r="196" spans="1:8" ht="21.75" customHeight="1">
      <c r="A196" s="320"/>
      <c r="B196" s="333"/>
      <c r="C196" s="320"/>
      <c r="D196" s="295">
        <f>'приложение 4'!F243</f>
        <v>240</v>
      </c>
      <c r="E196" s="295" t="s">
        <v>402</v>
      </c>
      <c r="F196" s="294">
        <f>'приложение 4'!G243</f>
        <v>5</v>
      </c>
      <c r="G196" s="294">
        <f>'приложение 4'!H243</f>
        <v>0</v>
      </c>
      <c r="H196" s="294">
        <f>'приложение 4'!I243</f>
        <v>0</v>
      </c>
    </row>
    <row r="197" spans="1:8" ht="15">
      <c r="A197" s="311">
        <v>142</v>
      </c>
      <c r="B197" s="4" t="s">
        <v>80</v>
      </c>
      <c r="C197" s="131" t="s">
        <v>475</v>
      </c>
      <c r="D197" s="59"/>
      <c r="E197" s="59"/>
      <c r="F197" s="169">
        <f>F198</f>
        <v>0</v>
      </c>
      <c r="G197" s="169">
        <f aca="true" t="shared" si="34" ref="G197:H197">G198</f>
        <v>60</v>
      </c>
      <c r="H197" s="169">
        <f t="shared" si="34"/>
        <v>60</v>
      </c>
    </row>
    <row r="198" spans="1:8" ht="31.2">
      <c r="A198" s="311">
        <v>143</v>
      </c>
      <c r="B198" s="130" t="s">
        <v>94</v>
      </c>
      <c r="C198" s="75" t="str">
        <f>'приложение 4'!E289</f>
        <v>0 9900S6070</v>
      </c>
      <c r="D198" s="75">
        <v>630</v>
      </c>
      <c r="E198" s="86" t="s">
        <v>404</v>
      </c>
      <c r="F198" s="167">
        <f>'приложение 4'!G291</f>
        <v>0</v>
      </c>
      <c r="G198" s="167">
        <f>'приложение 4'!H291</f>
        <v>60</v>
      </c>
      <c r="H198" s="167">
        <f>'приложение 4'!I291</f>
        <v>60</v>
      </c>
    </row>
    <row r="199" spans="1:8" ht="46.8">
      <c r="A199" s="311">
        <v>144</v>
      </c>
      <c r="B199" s="31" t="s">
        <v>278</v>
      </c>
      <c r="C199" s="47">
        <v>1000000000</v>
      </c>
      <c r="D199" s="47"/>
      <c r="E199" s="47"/>
      <c r="F199" s="152">
        <f>F200+F203+F211</f>
        <v>7377.87</v>
      </c>
      <c r="G199" s="152">
        <f>G200+G203+G211</f>
        <v>24961.17</v>
      </c>
      <c r="H199" s="152">
        <f>H200+H203+H211</f>
        <v>55161.17</v>
      </c>
    </row>
    <row r="200" spans="1:8" ht="31.2">
      <c r="A200" s="324">
        <v>145</v>
      </c>
      <c r="B200" s="5" t="s">
        <v>279</v>
      </c>
      <c r="C200" s="59">
        <v>1010000000</v>
      </c>
      <c r="D200" s="75"/>
      <c r="E200" s="75"/>
      <c r="F200" s="167">
        <f>F201+F202</f>
        <v>300</v>
      </c>
      <c r="G200" s="225">
        <f aca="true" t="shared" si="35" ref="G200:H200">G201+G202</f>
        <v>0</v>
      </c>
      <c r="H200" s="225">
        <f t="shared" si="35"/>
        <v>0</v>
      </c>
    </row>
    <row r="201" spans="1:8" ht="31.2">
      <c r="A201" s="324"/>
      <c r="B201" s="226" t="s">
        <v>425</v>
      </c>
      <c r="C201" s="90">
        <f>'приложение 4'!E494</f>
        <v>1010095700</v>
      </c>
      <c r="D201" s="90">
        <v>240</v>
      </c>
      <c r="E201" s="90" t="s">
        <v>417</v>
      </c>
      <c r="F201" s="167">
        <f>'приложение 4'!G496</f>
        <v>90</v>
      </c>
      <c r="G201" s="167">
        <f>'приложение 4'!H496</f>
        <v>0</v>
      </c>
      <c r="H201" s="167">
        <f>'приложение 4'!I496</f>
        <v>0</v>
      </c>
    </row>
    <row r="202" spans="1:8" ht="15">
      <c r="A202" s="311">
        <v>146</v>
      </c>
      <c r="B202" s="32" t="s">
        <v>565</v>
      </c>
      <c r="C202" s="224">
        <f>'приложение 4'!E499</f>
        <v>1010087080</v>
      </c>
      <c r="D202" s="224">
        <v>240</v>
      </c>
      <c r="E202" s="224" t="s">
        <v>394</v>
      </c>
      <c r="F202" s="225">
        <f>'приложение 4'!G499</f>
        <v>210</v>
      </c>
      <c r="G202" s="225">
        <f>'приложение 4'!H499</f>
        <v>0</v>
      </c>
      <c r="H202" s="225">
        <f>'приложение 4'!I499</f>
        <v>0</v>
      </c>
    </row>
    <row r="203" spans="1:8" ht="46.8">
      <c r="A203" s="311">
        <v>147</v>
      </c>
      <c r="B203" s="5" t="s">
        <v>280</v>
      </c>
      <c r="C203" s="59">
        <v>1020000000</v>
      </c>
      <c r="D203" s="75"/>
      <c r="E203" s="75"/>
      <c r="F203" s="167">
        <f>F206+F207+F208+F209+F210+F205+F204</f>
        <v>1650</v>
      </c>
      <c r="G203" s="200">
        <f aca="true" t="shared" si="36" ref="G203:H203">G206+G207+G208+G209+G210+G205+G204</f>
        <v>19800</v>
      </c>
      <c r="H203" s="200">
        <f t="shared" si="36"/>
        <v>50000</v>
      </c>
    </row>
    <row r="204" spans="1:8" ht="15">
      <c r="A204" s="311">
        <v>148</v>
      </c>
      <c r="B204" s="202" t="s">
        <v>555</v>
      </c>
      <c r="C204" s="201">
        <f>'приложение 4'!E444</f>
        <v>1020087050</v>
      </c>
      <c r="D204" s="199">
        <v>410</v>
      </c>
      <c r="E204" s="199" t="s">
        <v>406</v>
      </c>
      <c r="F204" s="200">
        <f>'приложение 4'!G445</f>
        <v>0</v>
      </c>
      <c r="G204" s="200">
        <f>'приложение 4'!H445</f>
        <v>0</v>
      </c>
      <c r="H204" s="200">
        <f>'приложение 4'!I445</f>
        <v>50000</v>
      </c>
    </row>
    <row r="205" spans="1:8" ht="15">
      <c r="A205" s="311">
        <v>149</v>
      </c>
      <c r="B205" s="197" t="s">
        <v>553</v>
      </c>
      <c r="C205" s="194">
        <f>'приложение 4'!E456</f>
        <v>1020087070</v>
      </c>
      <c r="D205" s="195">
        <v>240</v>
      </c>
      <c r="E205" s="195" t="s">
        <v>552</v>
      </c>
      <c r="F205" s="196">
        <f>'приложение 4'!G458</f>
        <v>1650</v>
      </c>
      <c r="G205" s="196">
        <f>'приложение 4'!H458</f>
        <v>0</v>
      </c>
      <c r="H205" s="196">
        <f>'приложение 4'!I458</f>
        <v>0</v>
      </c>
    </row>
    <row r="206" spans="1:8" ht="46.8">
      <c r="A206" s="311">
        <v>150</v>
      </c>
      <c r="B206" s="76" t="s">
        <v>455</v>
      </c>
      <c r="C206" s="123">
        <f>'приложение 4'!E124</f>
        <v>1020087080</v>
      </c>
      <c r="D206" s="122">
        <v>540</v>
      </c>
      <c r="E206" s="122" t="s">
        <v>417</v>
      </c>
      <c r="F206" s="167">
        <f>'приложение 4'!G122</f>
        <v>0</v>
      </c>
      <c r="G206" s="167">
        <f>'приложение 4'!H122</f>
        <v>14800</v>
      </c>
      <c r="H206" s="167">
        <f>'приложение 4'!I122</f>
        <v>0</v>
      </c>
    </row>
    <row r="207" spans="1:8" ht="31.2">
      <c r="A207" s="311">
        <v>151</v>
      </c>
      <c r="B207" s="166" t="s">
        <v>504</v>
      </c>
      <c r="C207" s="165">
        <v>1020087090</v>
      </c>
      <c r="D207" s="163">
        <v>240</v>
      </c>
      <c r="E207" s="163" t="s">
        <v>480</v>
      </c>
      <c r="F207" s="167">
        <f>'приложение 4'!G452</f>
        <v>0</v>
      </c>
      <c r="G207" s="167">
        <f>'приложение 4'!H452</f>
        <v>0</v>
      </c>
      <c r="H207" s="167">
        <f>'приложение 4'!I452</f>
        <v>0</v>
      </c>
    </row>
    <row r="208" spans="1:8" ht="15">
      <c r="A208" s="311">
        <v>152</v>
      </c>
      <c r="B208" s="166" t="s">
        <v>505</v>
      </c>
      <c r="C208" s="165">
        <v>1020087110</v>
      </c>
      <c r="D208" s="163">
        <v>240</v>
      </c>
      <c r="E208" s="163" t="s">
        <v>406</v>
      </c>
      <c r="F208" s="167">
        <f>'приложение 4'!G442</f>
        <v>0</v>
      </c>
      <c r="G208" s="167">
        <f>'приложение 4'!H442</f>
        <v>2000</v>
      </c>
      <c r="H208" s="167">
        <f>'приложение 4'!I442</f>
        <v>0</v>
      </c>
    </row>
    <row r="209" spans="1:8" ht="31.2">
      <c r="A209" s="311">
        <v>153</v>
      </c>
      <c r="B209" s="166" t="s">
        <v>506</v>
      </c>
      <c r="C209" s="165">
        <v>1020087120</v>
      </c>
      <c r="D209" s="163">
        <v>240</v>
      </c>
      <c r="E209" s="163" t="s">
        <v>394</v>
      </c>
      <c r="F209" s="167">
        <f>'приложение 4'!G432</f>
        <v>0</v>
      </c>
      <c r="G209" s="167">
        <f>'приложение 4'!H432</f>
        <v>0</v>
      </c>
      <c r="H209" s="167">
        <f>'приложение 4'!I432</f>
        <v>0</v>
      </c>
    </row>
    <row r="210" spans="1:8" ht="46.8">
      <c r="A210" s="311">
        <v>154</v>
      </c>
      <c r="B210" s="149" t="s">
        <v>516</v>
      </c>
      <c r="C210" s="165">
        <v>1020087130</v>
      </c>
      <c r="D210" s="163">
        <v>540</v>
      </c>
      <c r="E210" s="163" t="s">
        <v>394</v>
      </c>
      <c r="F210" s="167">
        <f>'приложение 4'!G435</f>
        <v>0</v>
      </c>
      <c r="G210" s="167">
        <f>'приложение 4'!H127</f>
        <v>3000</v>
      </c>
      <c r="H210" s="167">
        <f>'приложение 4'!I435</f>
        <v>0</v>
      </c>
    </row>
    <row r="211" spans="1:8" ht="31.2">
      <c r="A211" s="311">
        <v>155</v>
      </c>
      <c r="B211" s="4" t="s">
        <v>136</v>
      </c>
      <c r="C211" s="59">
        <v>1030000000</v>
      </c>
      <c r="D211" s="75"/>
      <c r="E211" s="75"/>
      <c r="F211" s="167">
        <f>F212+F213+F214</f>
        <v>5427.87</v>
      </c>
      <c r="G211" s="167">
        <f aca="true" t="shared" si="37" ref="G211:H211">G212+G213+G214</f>
        <v>5161.17</v>
      </c>
      <c r="H211" s="167">
        <f t="shared" si="37"/>
        <v>5161.17</v>
      </c>
    </row>
    <row r="212" spans="1:8" ht="15">
      <c r="A212" s="324">
        <v>156</v>
      </c>
      <c r="B212" s="328" t="s">
        <v>341</v>
      </c>
      <c r="C212" s="344">
        <f>'приложение 4'!E405</f>
        <v>1030000610</v>
      </c>
      <c r="D212" s="75">
        <v>110</v>
      </c>
      <c r="E212" s="86" t="s">
        <v>186</v>
      </c>
      <c r="F212" s="167">
        <f>'приложение 4'!G407</f>
        <v>3995.8599999999997</v>
      </c>
      <c r="G212" s="167">
        <f>'приложение 4'!H407</f>
        <v>4143.76</v>
      </c>
      <c r="H212" s="167">
        <f>'приложение 4'!I407</f>
        <v>4143.76</v>
      </c>
    </row>
    <row r="213" spans="1:8" ht="15">
      <c r="A213" s="324"/>
      <c r="B213" s="328"/>
      <c r="C213" s="344"/>
      <c r="D213" s="75">
        <v>240</v>
      </c>
      <c r="E213" s="86" t="s">
        <v>186</v>
      </c>
      <c r="F213" s="167">
        <f>'приложение 4'!G409</f>
        <v>1430.1299999999999</v>
      </c>
      <c r="G213" s="167">
        <f>'приложение 4'!H409</f>
        <v>1015.41</v>
      </c>
      <c r="H213" s="167">
        <f>'приложение 4'!I409</f>
        <v>1015.41</v>
      </c>
    </row>
    <row r="214" spans="1:8" ht="15">
      <c r="A214" s="324"/>
      <c r="B214" s="328"/>
      <c r="C214" s="344"/>
      <c r="D214" s="108">
        <v>850</v>
      </c>
      <c r="E214" s="108" t="s">
        <v>186</v>
      </c>
      <c r="F214" s="167">
        <f>'приложение 4'!G411</f>
        <v>1.88</v>
      </c>
      <c r="G214" s="167">
        <f>'приложение 4'!H411</f>
        <v>2</v>
      </c>
      <c r="H214" s="167">
        <f>'приложение 4'!I411</f>
        <v>2</v>
      </c>
    </row>
    <row r="215" spans="1:8" ht="31.2">
      <c r="A215" s="311">
        <v>157</v>
      </c>
      <c r="B215" s="31" t="s">
        <v>281</v>
      </c>
      <c r="C215" s="47">
        <v>1100000000</v>
      </c>
      <c r="D215" s="47"/>
      <c r="E215" s="47"/>
      <c r="F215" s="152">
        <f>F216+F220+F223+F229</f>
        <v>44527.19</v>
      </c>
      <c r="G215" s="152">
        <f aca="true" t="shared" si="38" ref="G215:H215">G216+G220+G223</f>
        <v>10383</v>
      </c>
      <c r="H215" s="152">
        <f t="shared" si="38"/>
        <v>10383</v>
      </c>
    </row>
    <row r="216" spans="1:8" ht="31.2">
      <c r="A216" s="311">
        <v>158</v>
      </c>
      <c r="B216" s="5" t="s">
        <v>88</v>
      </c>
      <c r="C216" s="59">
        <v>1110000000</v>
      </c>
      <c r="D216" s="59"/>
      <c r="E216" s="59"/>
      <c r="F216" s="169">
        <f>F217+F218+F219</f>
        <v>10699.949999999999</v>
      </c>
      <c r="G216" s="169">
        <f aca="true" t="shared" si="39" ref="G216:H216">G217+G218+G219</f>
        <v>9952.4</v>
      </c>
      <c r="H216" s="169">
        <f t="shared" si="39"/>
        <v>9952.4</v>
      </c>
    </row>
    <row r="217" spans="1:8" ht="109.2">
      <c r="A217" s="311">
        <v>159</v>
      </c>
      <c r="B217" s="74" t="s">
        <v>89</v>
      </c>
      <c r="C217" s="75">
        <f>'приложение 4'!E258</f>
        <v>1110023580</v>
      </c>
      <c r="D217" s="75">
        <v>810</v>
      </c>
      <c r="E217" s="75" t="s">
        <v>282</v>
      </c>
      <c r="F217" s="167">
        <f>'приложение 4'!G260</f>
        <v>9699.949999999999</v>
      </c>
      <c r="G217" s="167">
        <f>'приложение 4'!H260</f>
        <v>9952.4</v>
      </c>
      <c r="H217" s="167">
        <f>'приложение 4'!I260</f>
        <v>9952.4</v>
      </c>
    </row>
    <row r="218" spans="1:8" ht="93.6">
      <c r="A218" s="311">
        <v>160</v>
      </c>
      <c r="B218" s="33" t="s">
        <v>564</v>
      </c>
      <c r="C218" s="210">
        <f>'приложение 4'!E261</f>
        <v>1110023590</v>
      </c>
      <c r="D218" s="210">
        <v>810</v>
      </c>
      <c r="E218" s="210" t="s">
        <v>282</v>
      </c>
      <c r="F218" s="212">
        <f>'приложение 4'!G263</f>
        <v>0</v>
      </c>
      <c r="G218" s="212">
        <f>'приложение 4'!H263</f>
        <v>0</v>
      </c>
      <c r="H218" s="212">
        <f>'приложение 4'!I263</f>
        <v>0</v>
      </c>
    </row>
    <row r="219" spans="1:8" ht="15">
      <c r="A219" s="311">
        <v>161</v>
      </c>
      <c r="B219" s="33" t="s">
        <v>567</v>
      </c>
      <c r="C219" s="217">
        <f>'приложение 4'!E480</f>
        <v>1110089200</v>
      </c>
      <c r="D219" s="217">
        <v>240</v>
      </c>
      <c r="E219" s="217" t="s">
        <v>186</v>
      </c>
      <c r="F219" s="218">
        <f>'приложение 4'!G480</f>
        <v>1000</v>
      </c>
      <c r="G219" s="218">
        <f>'приложение 4'!H480</f>
        <v>0</v>
      </c>
      <c r="H219" s="218">
        <f>'приложение 4'!I480</f>
        <v>0</v>
      </c>
    </row>
    <row r="220" spans="1:8" ht="31.2">
      <c r="A220" s="311">
        <v>162</v>
      </c>
      <c r="B220" s="5" t="s">
        <v>283</v>
      </c>
      <c r="C220" s="59">
        <v>1120000000</v>
      </c>
      <c r="D220" s="59"/>
      <c r="E220" s="59"/>
      <c r="F220" s="169">
        <f>F221+F222</f>
        <v>698.6</v>
      </c>
      <c r="G220" s="169">
        <f aca="true" t="shared" si="40" ref="G220:H220">G221+G222</f>
        <v>430.6</v>
      </c>
      <c r="H220" s="169">
        <f t="shared" si="40"/>
        <v>430.6</v>
      </c>
    </row>
    <row r="221" spans="1:8" ht="62.4">
      <c r="A221" s="311">
        <v>163</v>
      </c>
      <c r="B221" s="104" t="s">
        <v>426</v>
      </c>
      <c r="C221" s="75">
        <f>'приложение 4'!E267</f>
        <v>1120082220</v>
      </c>
      <c r="D221" s="75">
        <v>240</v>
      </c>
      <c r="E221" s="86" t="s">
        <v>403</v>
      </c>
      <c r="F221" s="167">
        <f>'приложение 4'!G267</f>
        <v>430.6</v>
      </c>
      <c r="G221" s="167">
        <f>'приложение 4'!H267</f>
        <v>430.6</v>
      </c>
      <c r="H221" s="167">
        <f>'приложение 4'!I267</f>
        <v>430.6</v>
      </c>
    </row>
    <row r="222" spans="1:8" ht="46.8">
      <c r="A222" s="311">
        <v>164</v>
      </c>
      <c r="B222" s="187" t="s">
        <v>530</v>
      </c>
      <c r="C222" s="181">
        <v>1120074920</v>
      </c>
      <c r="D222" s="181">
        <v>540</v>
      </c>
      <c r="E222" s="181" t="s">
        <v>403</v>
      </c>
      <c r="F222" s="186">
        <f>'приложение 4'!G76</f>
        <v>268</v>
      </c>
      <c r="G222" s="186">
        <f>'приложение 4'!H76</f>
        <v>0</v>
      </c>
      <c r="H222" s="186">
        <f>'приложение 4'!I76</f>
        <v>0</v>
      </c>
    </row>
    <row r="223" spans="1:8" ht="31.2">
      <c r="A223" s="311">
        <v>165</v>
      </c>
      <c r="B223" s="5" t="s">
        <v>284</v>
      </c>
      <c r="C223" s="59">
        <v>1130000000</v>
      </c>
      <c r="D223" s="75"/>
      <c r="E223" s="75"/>
      <c r="F223" s="167">
        <f>F225+F226+F228+F224+F227</f>
        <v>27606.24</v>
      </c>
      <c r="G223" s="186">
        <f aca="true" t="shared" si="41" ref="G223:H223">G225+G226+G228+G224</f>
        <v>0</v>
      </c>
      <c r="H223" s="186">
        <f t="shared" si="41"/>
        <v>0</v>
      </c>
    </row>
    <row r="224" spans="1:8" ht="15">
      <c r="A224" s="318">
        <v>166</v>
      </c>
      <c r="B224" s="332" t="s">
        <v>531</v>
      </c>
      <c r="C224" s="348">
        <v>1130075080</v>
      </c>
      <c r="D224" s="181">
        <v>240</v>
      </c>
      <c r="E224" s="181" t="s">
        <v>403</v>
      </c>
      <c r="F224" s="186">
        <f>'приложение 4'!G273</f>
        <v>204</v>
      </c>
      <c r="G224" s="186">
        <f>'приложение 4'!H273</f>
        <v>0</v>
      </c>
      <c r="H224" s="186">
        <f>'приложение 4'!I273</f>
        <v>0</v>
      </c>
    </row>
    <row r="225" spans="1:8" ht="15">
      <c r="A225" s="320"/>
      <c r="B225" s="333"/>
      <c r="C225" s="349"/>
      <c r="D225" s="181">
        <v>540</v>
      </c>
      <c r="E225" s="181" t="s">
        <v>403</v>
      </c>
      <c r="F225" s="186">
        <f>'приложение 4'!G80</f>
        <v>5064.9</v>
      </c>
      <c r="G225" s="186">
        <f>'приложение 4'!H80</f>
        <v>0</v>
      </c>
      <c r="H225" s="186">
        <f>'приложение 4'!I80</f>
        <v>0</v>
      </c>
    </row>
    <row r="226" spans="1:8" ht="62.4">
      <c r="A226" s="311">
        <v>167</v>
      </c>
      <c r="B226" s="184" t="s">
        <v>532</v>
      </c>
      <c r="C226" s="183">
        <v>1130075090</v>
      </c>
      <c r="D226" s="181">
        <v>540</v>
      </c>
      <c r="E226" s="181" t="s">
        <v>403</v>
      </c>
      <c r="F226" s="186">
        <f>'приложение 4'!G83</f>
        <v>18242.5</v>
      </c>
      <c r="G226" s="186">
        <f>'приложение 4'!H83</f>
        <v>0</v>
      </c>
      <c r="H226" s="186">
        <f>'приложение 4'!I83</f>
        <v>0</v>
      </c>
    </row>
    <row r="227" spans="1:8" ht="78">
      <c r="A227" s="311">
        <v>168</v>
      </c>
      <c r="B227" s="229" t="s">
        <v>572</v>
      </c>
      <c r="C227" s="227">
        <v>1130076430</v>
      </c>
      <c r="D227" s="228">
        <v>540</v>
      </c>
      <c r="E227" s="228" t="s">
        <v>403</v>
      </c>
      <c r="F227" s="230">
        <f>'приложение 4'!G86</f>
        <v>4092.8</v>
      </c>
      <c r="G227" s="230">
        <f>'приложение 4'!H86</f>
        <v>0</v>
      </c>
      <c r="H227" s="230">
        <f>'приложение 4'!I86</f>
        <v>0</v>
      </c>
    </row>
    <row r="228" spans="1:8" ht="62.4">
      <c r="A228" s="311">
        <v>169</v>
      </c>
      <c r="B228" s="76" t="s">
        <v>445</v>
      </c>
      <c r="C228" s="117" t="str">
        <f>'приложение 4'!E276</f>
        <v>11300S5080</v>
      </c>
      <c r="D228" s="114">
        <v>240</v>
      </c>
      <c r="E228" s="114" t="s">
        <v>459</v>
      </c>
      <c r="F228" s="167">
        <f>'приложение 4'!G276</f>
        <v>2.04</v>
      </c>
      <c r="G228" s="167">
        <f>'приложение 4'!H276</f>
        <v>0</v>
      </c>
      <c r="H228" s="167">
        <f>'приложение 4'!I276</f>
        <v>0</v>
      </c>
    </row>
    <row r="229" spans="1:8" ht="15.75" customHeight="1">
      <c r="A229" s="311">
        <v>170</v>
      </c>
      <c r="B229" s="247" t="s">
        <v>80</v>
      </c>
      <c r="C229" s="246"/>
      <c r="D229" s="244"/>
      <c r="E229" s="244"/>
      <c r="F229" s="245">
        <f>F230+F231+F232</f>
        <v>5522.4</v>
      </c>
      <c r="G229" s="245">
        <f aca="true" t="shared" si="42" ref="G229:H229">G230+G231+G232</f>
        <v>0</v>
      </c>
      <c r="H229" s="245">
        <f t="shared" si="42"/>
        <v>0</v>
      </c>
    </row>
    <row r="230" spans="1:8" ht="47.25" customHeight="1">
      <c r="A230" s="318">
        <v>171</v>
      </c>
      <c r="B230" s="350" t="s">
        <v>577</v>
      </c>
      <c r="C230" s="348">
        <v>1190076450</v>
      </c>
      <c r="D230" s="244">
        <v>540</v>
      </c>
      <c r="E230" s="244" t="s">
        <v>558</v>
      </c>
      <c r="F230" s="245">
        <f>'приложение 4'!G92</f>
        <v>112.73</v>
      </c>
      <c r="G230" s="278">
        <f>'приложение 4'!H92</f>
        <v>0</v>
      </c>
      <c r="H230" s="278">
        <f>'приложение 4'!I92</f>
        <v>0</v>
      </c>
    </row>
    <row r="231" spans="1:8" ht="49.5" customHeight="1">
      <c r="A231" s="320"/>
      <c r="B231" s="351"/>
      <c r="C231" s="349"/>
      <c r="D231" s="244">
        <v>410</v>
      </c>
      <c r="E231" s="244" t="s">
        <v>558</v>
      </c>
      <c r="F231" s="245">
        <f>'приложение 4'!G282</f>
        <v>5355.67</v>
      </c>
      <c r="G231" s="245">
        <f>'приложение 4'!H282</f>
        <v>0</v>
      </c>
      <c r="H231" s="245">
        <f>'приложение 4'!I282</f>
        <v>0</v>
      </c>
    </row>
    <row r="232" spans="1:8" ht="31.2">
      <c r="A232" s="311">
        <v>172</v>
      </c>
      <c r="B232" s="247" t="s">
        <v>559</v>
      </c>
      <c r="C232" s="38" t="s">
        <v>594</v>
      </c>
      <c r="D232" s="244">
        <v>240</v>
      </c>
      <c r="E232" s="244" t="s">
        <v>558</v>
      </c>
      <c r="F232" s="245">
        <f>'приложение 4'!G285</f>
        <v>54</v>
      </c>
      <c r="G232" s="245">
        <f>'приложение 4'!H285</f>
        <v>0</v>
      </c>
      <c r="H232" s="245">
        <f>'приложение 4'!I285</f>
        <v>0</v>
      </c>
    </row>
    <row r="233" spans="1:8" ht="31.2">
      <c r="A233" s="311">
        <v>173</v>
      </c>
      <c r="B233" s="31" t="s">
        <v>285</v>
      </c>
      <c r="C233" s="47">
        <v>1200000000</v>
      </c>
      <c r="D233" s="75"/>
      <c r="E233" s="75"/>
      <c r="F233" s="152">
        <f>F234+F237+F239+F244+F248+F242</f>
        <v>102158.62999999999</v>
      </c>
      <c r="G233" s="152">
        <f>G234+G237+G239+G244+G248+G242</f>
        <v>13844.5</v>
      </c>
      <c r="H233" s="152">
        <f>H234+H237+H239+H244+H248+H242</f>
        <v>1844.5</v>
      </c>
    </row>
    <row r="234" spans="1:8" ht="31.2">
      <c r="A234" s="311">
        <v>174</v>
      </c>
      <c r="B234" s="5" t="s">
        <v>286</v>
      </c>
      <c r="C234" s="59">
        <v>1210000000</v>
      </c>
      <c r="D234" s="75"/>
      <c r="E234" s="75"/>
      <c r="F234" s="167">
        <f>F235+F236</f>
        <v>79738.28</v>
      </c>
      <c r="G234" s="186">
        <f aca="true" t="shared" si="43" ref="G234:H234">G235+G236</f>
        <v>0</v>
      </c>
      <c r="H234" s="186">
        <f t="shared" si="43"/>
        <v>0</v>
      </c>
    </row>
    <row r="235" spans="1:8" ht="62.4">
      <c r="A235" s="311">
        <v>175</v>
      </c>
      <c r="B235" s="156" t="s">
        <v>498</v>
      </c>
      <c r="C235" s="157">
        <f>'приложение 4'!E99</f>
        <v>1210095020</v>
      </c>
      <c r="D235" s="155">
        <v>520</v>
      </c>
      <c r="E235" s="155" t="s">
        <v>500</v>
      </c>
      <c r="F235" s="167">
        <f>'приложение 4'!G99</f>
        <v>33850.34</v>
      </c>
      <c r="G235" s="167">
        <f>'приложение 4'!H99</f>
        <v>0</v>
      </c>
      <c r="H235" s="167">
        <f>'приложение 4'!I99</f>
        <v>0</v>
      </c>
    </row>
    <row r="236" spans="1:8" ht="46.8">
      <c r="A236" s="311">
        <v>176</v>
      </c>
      <c r="B236" s="182" t="s">
        <v>533</v>
      </c>
      <c r="C236" s="183">
        <v>1210096020</v>
      </c>
      <c r="D236" s="181">
        <v>520</v>
      </c>
      <c r="E236" s="181" t="s">
        <v>497</v>
      </c>
      <c r="F236" s="186">
        <f>'приложение 4'!G102</f>
        <v>45887.939999999995</v>
      </c>
      <c r="G236" s="186">
        <f>'приложение 4'!H102</f>
        <v>0</v>
      </c>
      <c r="H236" s="186">
        <f>'приложение 4'!I102</f>
        <v>0</v>
      </c>
    </row>
    <row r="237" spans="1:8" ht="31.2">
      <c r="A237" s="311">
        <v>177</v>
      </c>
      <c r="B237" s="5" t="s">
        <v>287</v>
      </c>
      <c r="C237" s="59">
        <v>1220000000</v>
      </c>
      <c r="D237" s="75"/>
      <c r="E237" s="75"/>
      <c r="F237" s="167">
        <f>F238</f>
        <v>0</v>
      </c>
      <c r="G237" s="167">
        <f aca="true" t="shared" si="44" ref="G237:H237">G238</f>
        <v>386</v>
      </c>
      <c r="H237" s="167">
        <f t="shared" si="44"/>
        <v>386</v>
      </c>
    </row>
    <row r="238" spans="1:8" ht="15">
      <c r="A238" s="311">
        <v>178</v>
      </c>
      <c r="B238" s="74" t="s">
        <v>300</v>
      </c>
      <c r="C238" s="59">
        <f>'приложение 4'!E321</f>
        <v>1220082100</v>
      </c>
      <c r="D238" s="75">
        <v>320</v>
      </c>
      <c r="E238" s="86" t="s">
        <v>214</v>
      </c>
      <c r="F238" s="167">
        <f>'приложение 4'!G323</f>
        <v>0</v>
      </c>
      <c r="G238" s="167">
        <f>'приложение 4'!H323</f>
        <v>386</v>
      </c>
      <c r="H238" s="167">
        <f>'приложение 4'!I323</f>
        <v>386</v>
      </c>
    </row>
    <row r="239" spans="1:8" ht="46.8">
      <c r="A239" s="311">
        <v>179</v>
      </c>
      <c r="B239" s="5" t="s">
        <v>288</v>
      </c>
      <c r="C239" s="59">
        <v>1230000000</v>
      </c>
      <c r="D239" s="75"/>
      <c r="E239" s="75"/>
      <c r="F239" s="167">
        <f>F240+F241</f>
        <v>0</v>
      </c>
      <c r="G239" s="220">
        <f aca="true" t="shared" si="45" ref="G239:H239">G240+G241</f>
        <v>0</v>
      </c>
      <c r="H239" s="220">
        <f t="shared" si="45"/>
        <v>0</v>
      </c>
    </row>
    <row r="240" spans="1:8" ht="15">
      <c r="A240" s="311">
        <v>180</v>
      </c>
      <c r="B240" s="49" t="s">
        <v>444</v>
      </c>
      <c r="C240" s="117">
        <f>'приложение 4'!E295</f>
        <v>1230083110</v>
      </c>
      <c r="D240" s="114">
        <v>240</v>
      </c>
      <c r="E240" s="114" t="s">
        <v>460</v>
      </c>
      <c r="F240" s="167">
        <f>'приложение 4'!G295</f>
        <v>0</v>
      </c>
      <c r="G240" s="167">
        <f>'приложение 4'!H295</f>
        <v>0</v>
      </c>
      <c r="H240" s="167">
        <f>'приложение 4'!I295</f>
        <v>0</v>
      </c>
    </row>
    <row r="241" spans="1:8" ht="51" customHeight="1">
      <c r="A241" s="311">
        <v>181</v>
      </c>
      <c r="B241" s="49" t="s">
        <v>568</v>
      </c>
      <c r="C241" s="221" t="str">
        <f>'приложение 4'!E297</f>
        <v>12300S5910</v>
      </c>
      <c r="D241" s="219">
        <v>240</v>
      </c>
      <c r="E241" s="219" t="s">
        <v>460</v>
      </c>
      <c r="F241" s="220">
        <f>'приложение 4'!G297</f>
        <v>0</v>
      </c>
      <c r="G241" s="220">
        <f>'приложение 4'!H297</f>
        <v>0</v>
      </c>
      <c r="H241" s="220">
        <f>'приложение 4'!I297</f>
        <v>0</v>
      </c>
    </row>
    <row r="242" spans="1:8" ht="62.4">
      <c r="A242" s="311">
        <v>182</v>
      </c>
      <c r="B242" s="4" t="s">
        <v>289</v>
      </c>
      <c r="C242" s="59">
        <v>1240000000</v>
      </c>
      <c r="D242" s="75"/>
      <c r="E242" s="75"/>
      <c r="F242" s="167">
        <f>F243</f>
        <v>16000</v>
      </c>
      <c r="G242" s="243">
        <f aca="true" t="shared" si="46" ref="G242:H242">G243</f>
        <v>12000</v>
      </c>
      <c r="H242" s="243">
        <f t="shared" si="46"/>
        <v>0</v>
      </c>
    </row>
    <row r="243" spans="1:8" ht="18.75" customHeight="1">
      <c r="A243" s="311">
        <v>183</v>
      </c>
      <c r="B243" s="248" t="s">
        <v>593</v>
      </c>
      <c r="C243" s="242">
        <v>1240082120</v>
      </c>
      <c r="D243" s="242">
        <v>410</v>
      </c>
      <c r="E243" s="242" t="s">
        <v>186</v>
      </c>
      <c r="F243" s="243">
        <f>'приложение 4'!G228</f>
        <v>16000</v>
      </c>
      <c r="G243" s="286">
        <f>'приложение 4'!H228</f>
        <v>12000</v>
      </c>
      <c r="H243" s="286">
        <f>'приложение 4'!I228</f>
        <v>0</v>
      </c>
    </row>
    <row r="244" spans="1:8" ht="46.8">
      <c r="A244" s="311">
        <v>184</v>
      </c>
      <c r="B244" s="4" t="s">
        <v>290</v>
      </c>
      <c r="C244" s="59">
        <v>1250000000</v>
      </c>
      <c r="D244" s="75"/>
      <c r="E244" s="75"/>
      <c r="F244" s="169">
        <f>F245+F246+F247</f>
        <v>5930.15</v>
      </c>
      <c r="G244" s="169">
        <f aca="true" t="shared" si="47" ref="G244:H244">G245+G246+G247</f>
        <v>947</v>
      </c>
      <c r="H244" s="169">
        <f t="shared" si="47"/>
        <v>947</v>
      </c>
    </row>
    <row r="245" spans="1:8" ht="78">
      <c r="A245" s="311">
        <v>185</v>
      </c>
      <c r="B245" s="296" t="s">
        <v>605</v>
      </c>
      <c r="C245" s="75" t="str">
        <f>'приложение 4'!E327</f>
        <v>12500R0820</v>
      </c>
      <c r="D245" s="75">
        <v>410</v>
      </c>
      <c r="E245" s="86" t="s">
        <v>116</v>
      </c>
      <c r="F245" s="167">
        <f>'приложение 4'!G329</f>
        <v>5681.9</v>
      </c>
      <c r="G245" s="167">
        <f>'приложение 4'!H329</f>
        <v>947</v>
      </c>
      <c r="H245" s="167">
        <f>'приложение 4'!I329</f>
        <v>947</v>
      </c>
    </row>
    <row r="246" spans="1:8" ht="46.8">
      <c r="A246" s="311">
        <v>186</v>
      </c>
      <c r="B246" s="76" t="s">
        <v>465</v>
      </c>
      <c r="C246" s="127">
        <f>'приложение 4'!E489</f>
        <v>1250081110</v>
      </c>
      <c r="D246" s="127">
        <v>240</v>
      </c>
      <c r="E246" s="127" t="s">
        <v>435</v>
      </c>
      <c r="F246" s="167">
        <f>'приложение 4'!G489</f>
        <v>129.25</v>
      </c>
      <c r="G246" s="167">
        <f>'приложение 4'!H489</f>
        <v>0</v>
      </c>
      <c r="H246" s="167">
        <f>'приложение 4'!I489</f>
        <v>0</v>
      </c>
    </row>
    <row r="247" spans="1:8" ht="46.8">
      <c r="A247" s="311">
        <v>187</v>
      </c>
      <c r="B247" s="233" t="s">
        <v>584</v>
      </c>
      <c r="C247" s="231">
        <f>'приложение 4'!E330</f>
        <v>1250090820</v>
      </c>
      <c r="D247" s="231">
        <v>410</v>
      </c>
      <c r="E247" s="231" t="s">
        <v>116</v>
      </c>
      <c r="F247" s="232">
        <f>'приложение 4'!G332</f>
        <v>119</v>
      </c>
      <c r="G247" s="232">
        <f>'приложение 4'!H332</f>
        <v>0</v>
      </c>
      <c r="H247" s="232">
        <f>'приложение 4'!I332</f>
        <v>0</v>
      </c>
    </row>
    <row r="248" spans="1:8" ht="15">
      <c r="A248" s="311">
        <v>188</v>
      </c>
      <c r="B248" s="4" t="s">
        <v>291</v>
      </c>
      <c r="C248" s="75"/>
      <c r="D248" s="75"/>
      <c r="E248" s="75"/>
      <c r="F248" s="169">
        <f>F249+F250+F251</f>
        <v>490.2</v>
      </c>
      <c r="G248" s="169">
        <f aca="true" t="shared" si="48" ref="G248:H248">G249+G250+G251</f>
        <v>511.5</v>
      </c>
      <c r="H248" s="169">
        <f t="shared" si="48"/>
        <v>511.5</v>
      </c>
    </row>
    <row r="249" spans="1:8" ht="15">
      <c r="A249" s="324">
        <v>189</v>
      </c>
      <c r="B249" s="328" t="s">
        <v>81</v>
      </c>
      <c r="C249" s="324">
        <f>'приложение 4'!E230</f>
        <v>1290074670</v>
      </c>
      <c r="D249" s="75">
        <v>120</v>
      </c>
      <c r="E249" s="86" t="s">
        <v>186</v>
      </c>
      <c r="F249" s="167">
        <f>'приложение 4'!G232</f>
        <v>447.59999999999997</v>
      </c>
      <c r="G249" s="167">
        <f>'приложение 4'!H232</f>
        <v>468.9</v>
      </c>
      <c r="H249" s="167">
        <f>'приложение 4'!I232</f>
        <v>468.9</v>
      </c>
    </row>
    <row r="250" spans="1:8" ht="50.25" customHeight="1">
      <c r="A250" s="324"/>
      <c r="B250" s="328"/>
      <c r="C250" s="324"/>
      <c r="D250" s="106">
        <v>240</v>
      </c>
      <c r="E250" s="106" t="s">
        <v>435</v>
      </c>
      <c r="F250" s="167">
        <f>'приложение 4'!G234</f>
        <v>42.6</v>
      </c>
      <c r="G250" s="167">
        <f>'приложение 4'!H234</f>
        <v>42.6</v>
      </c>
      <c r="H250" s="167">
        <f>'приложение 4'!I234</f>
        <v>42.6</v>
      </c>
    </row>
    <row r="251" spans="1:8" ht="18.75" customHeight="1">
      <c r="A251" s="311">
        <v>190</v>
      </c>
      <c r="B251" s="164" t="s">
        <v>509</v>
      </c>
      <c r="C251" s="163">
        <v>1290083120</v>
      </c>
      <c r="D251" s="163">
        <v>410</v>
      </c>
      <c r="E251" s="163" t="s">
        <v>497</v>
      </c>
      <c r="F251" s="167">
        <f>'приложение 4'!G106</f>
        <v>0</v>
      </c>
      <c r="G251" s="167">
        <f>'приложение 4'!H106</f>
        <v>0</v>
      </c>
      <c r="H251" s="167">
        <f>'приложение 4'!I106</f>
        <v>0</v>
      </c>
    </row>
    <row r="252" spans="1:8" ht="31.2">
      <c r="A252" s="311">
        <v>191</v>
      </c>
      <c r="B252" s="31" t="s">
        <v>292</v>
      </c>
      <c r="C252" s="47">
        <v>1300000000</v>
      </c>
      <c r="D252" s="75"/>
      <c r="E252" s="75"/>
      <c r="F252" s="152">
        <f>F253</f>
        <v>500</v>
      </c>
      <c r="G252" s="152">
        <f aca="true" t="shared" si="49" ref="G252:H252">G253</f>
        <v>0</v>
      </c>
      <c r="H252" s="152">
        <f t="shared" si="49"/>
        <v>0</v>
      </c>
    </row>
    <row r="253" spans="1:8" ht="15">
      <c r="A253" s="311">
        <v>192</v>
      </c>
      <c r="B253" s="4" t="s">
        <v>80</v>
      </c>
      <c r="C253" s="59">
        <v>1390000000</v>
      </c>
      <c r="D253" s="59"/>
      <c r="E253" s="59"/>
      <c r="F253" s="169">
        <f>F254+F255</f>
        <v>500</v>
      </c>
      <c r="G253" s="169">
        <f>G254+G255</f>
        <v>0</v>
      </c>
      <c r="H253" s="169">
        <f>H254+H255</f>
        <v>0</v>
      </c>
    </row>
    <row r="254" spans="1:8" ht="31.2">
      <c r="A254" s="311">
        <v>193</v>
      </c>
      <c r="B254" s="6" t="s">
        <v>41</v>
      </c>
      <c r="C254" s="75">
        <f>'приложение 4'!E65</f>
        <v>1390084010</v>
      </c>
      <c r="D254" s="75">
        <v>540</v>
      </c>
      <c r="E254" s="86" t="s">
        <v>392</v>
      </c>
      <c r="F254" s="167">
        <f>'приложение 4'!G67</f>
        <v>200</v>
      </c>
      <c r="G254" s="167">
        <f>'приложение 4'!H67</f>
        <v>0</v>
      </c>
      <c r="H254" s="167">
        <f>'приложение 4'!I67</f>
        <v>0</v>
      </c>
    </row>
    <row r="255" spans="1:8" ht="15">
      <c r="A255" s="311">
        <v>194</v>
      </c>
      <c r="B255" s="40" t="s">
        <v>43</v>
      </c>
      <c r="C255" s="75">
        <f>'приложение 4'!E70</f>
        <v>1390084020</v>
      </c>
      <c r="D255" s="75">
        <v>540</v>
      </c>
      <c r="E255" s="86" t="s">
        <v>392</v>
      </c>
      <c r="F255" s="167">
        <f>'приложение 4'!G70</f>
        <v>300</v>
      </c>
      <c r="G255" s="167">
        <f>'приложение 4'!H70</f>
        <v>0</v>
      </c>
      <c r="H255" s="167">
        <f>'приложение 4'!I70</f>
        <v>0</v>
      </c>
    </row>
    <row r="256" spans="1:8" ht="46.8">
      <c r="A256" s="311">
        <v>195</v>
      </c>
      <c r="B256" s="139" t="s">
        <v>491</v>
      </c>
      <c r="C256" s="132">
        <v>1400000000</v>
      </c>
      <c r="D256" s="132"/>
      <c r="E256" s="132"/>
      <c r="F256" s="152">
        <f>F257+F260</f>
        <v>989.6800000000001</v>
      </c>
      <c r="G256" s="152">
        <f aca="true" t="shared" si="50" ref="G256:H256">G257+G260</f>
        <v>1062.5</v>
      </c>
      <c r="H256" s="152">
        <f t="shared" si="50"/>
        <v>1062.5</v>
      </c>
    </row>
    <row r="257" spans="1:8" ht="31.2">
      <c r="A257" s="311">
        <v>196</v>
      </c>
      <c r="B257" s="140" t="s">
        <v>492</v>
      </c>
      <c r="C257" s="132">
        <v>1410000000</v>
      </c>
      <c r="D257" s="132"/>
      <c r="E257" s="132"/>
      <c r="F257" s="167">
        <f>F258+F259</f>
        <v>474.08</v>
      </c>
      <c r="G257" s="167">
        <f aca="true" t="shared" si="51" ref="G257:H257">G258+G259</f>
        <v>546.9</v>
      </c>
      <c r="H257" s="167">
        <f t="shared" si="51"/>
        <v>546.9</v>
      </c>
    </row>
    <row r="258" spans="1:8" ht="15">
      <c r="A258" s="318">
        <v>197</v>
      </c>
      <c r="B258" s="345" t="s">
        <v>86</v>
      </c>
      <c r="C258" s="318">
        <f>'приложение 4'!E246</f>
        <v>1410075170</v>
      </c>
      <c r="D258" s="135">
        <v>120</v>
      </c>
      <c r="E258" s="135" t="s">
        <v>402</v>
      </c>
      <c r="F258" s="167">
        <f>'приложение 4'!G248</f>
        <v>409.83</v>
      </c>
      <c r="G258" s="167">
        <f>'приложение 4'!H248</f>
        <v>477.65</v>
      </c>
      <c r="H258" s="167">
        <f>'приложение 4'!I248</f>
        <v>477.65</v>
      </c>
    </row>
    <row r="259" spans="1:8" ht="36.75" customHeight="1">
      <c r="A259" s="320"/>
      <c r="B259" s="345"/>
      <c r="C259" s="320"/>
      <c r="D259" s="135">
        <v>240</v>
      </c>
      <c r="E259" s="135" t="s">
        <v>402</v>
      </c>
      <c r="F259" s="167">
        <f>'приложение 4'!G250</f>
        <v>64.25</v>
      </c>
      <c r="G259" s="167">
        <f>'приложение 4'!H250</f>
        <v>69.25</v>
      </c>
      <c r="H259" s="167">
        <f>'приложение 4'!I250</f>
        <v>69.25</v>
      </c>
    </row>
    <row r="260" spans="1:8" ht="15">
      <c r="A260" s="311">
        <v>198</v>
      </c>
      <c r="B260" s="140" t="s">
        <v>291</v>
      </c>
      <c r="C260" s="132">
        <v>1490000000</v>
      </c>
      <c r="D260" s="132"/>
      <c r="E260" s="132"/>
      <c r="F260" s="167">
        <f>F261+F262</f>
        <v>515.6</v>
      </c>
      <c r="G260" s="204">
        <f aca="true" t="shared" si="52" ref="G260:H260">G261+G262</f>
        <v>515.6</v>
      </c>
      <c r="H260" s="204">
        <f t="shared" si="52"/>
        <v>515.6</v>
      </c>
    </row>
    <row r="261" spans="1:8" ht="51" customHeight="1">
      <c r="A261" s="311">
        <v>199</v>
      </c>
      <c r="B261" s="12" t="s">
        <v>97</v>
      </c>
      <c r="C261" s="132">
        <f>'приложение 4'!E425</f>
        <v>1490075180</v>
      </c>
      <c r="D261" s="132">
        <v>240</v>
      </c>
      <c r="E261" s="132" t="s">
        <v>460</v>
      </c>
      <c r="F261" s="167">
        <f>'приложение 4'!G425</f>
        <v>515.6</v>
      </c>
      <c r="G261" s="167">
        <f>'приложение 4'!H425</f>
        <v>515.6</v>
      </c>
      <c r="H261" s="167">
        <f>'приложение 4'!I425</f>
        <v>515.6</v>
      </c>
    </row>
    <row r="262" spans="1:8" ht="51" customHeight="1" hidden="1">
      <c r="A262" s="311"/>
      <c r="B262" s="205" t="s">
        <v>556</v>
      </c>
      <c r="C262" s="203">
        <f>'приложение 4'!E254</f>
        <v>1490096070</v>
      </c>
      <c r="D262" s="203">
        <v>630</v>
      </c>
      <c r="E262" s="203" t="s">
        <v>402</v>
      </c>
      <c r="F262" s="204">
        <f>'приложение 4'!G254</f>
        <v>0</v>
      </c>
      <c r="G262" s="204">
        <f>'приложение 4'!H254</f>
        <v>0</v>
      </c>
      <c r="H262" s="204">
        <f>'приложение 4'!I254</f>
        <v>0</v>
      </c>
    </row>
    <row r="263" spans="1:8" ht="15">
      <c r="A263" s="311">
        <v>200</v>
      </c>
      <c r="B263" s="30" t="s">
        <v>28</v>
      </c>
      <c r="C263" s="75"/>
      <c r="D263" s="75"/>
      <c r="E263" s="75"/>
      <c r="F263" s="152">
        <f>SUM(F264:F288)</f>
        <v>16286.84</v>
      </c>
      <c r="G263" s="152">
        <f>SUM(G264:G288)</f>
        <v>9179.92</v>
      </c>
      <c r="H263" s="152">
        <f aca="true" t="shared" si="53" ref="H263">SUM(H264:H288)</f>
        <v>9179.92</v>
      </c>
    </row>
    <row r="264" spans="1:8" ht="15">
      <c r="A264" s="309">
        <v>201</v>
      </c>
      <c r="B264" s="118" t="s">
        <v>298</v>
      </c>
      <c r="C264" s="120">
        <f>'приложение 4'!E181</f>
        <v>8510000210</v>
      </c>
      <c r="D264" s="75">
        <v>120</v>
      </c>
      <c r="E264" s="86" t="s">
        <v>400</v>
      </c>
      <c r="F264" s="167">
        <f>'приложение 4'!G183</f>
        <v>1105.63</v>
      </c>
      <c r="G264" s="167">
        <f>'приложение 4'!H183</f>
        <v>1105.63</v>
      </c>
      <c r="H264" s="167">
        <f>'приложение 4'!I183</f>
        <v>1105.63</v>
      </c>
    </row>
    <row r="265" spans="1:8" ht="46.8">
      <c r="A265" s="311">
        <v>202</v>
      </c>
      <c r="B265" s="74" t="s">
        <v>29</v>
      </c>
      <c r="C265" s="75">
        <f>'приложение 4'!E26</f>
        <v>9210075140</v>
      </c>
      <c r="D265" s="75">
        <v>530</v>
      </c>
      <c r="E265" s="86" t="s">
        <v>388</v>
      </c>
      <c r="F265" s="167">
        <f>'приложение 4'!G28</f>
        <v>58.8</v>
      </c>
      <c r="G265" s="167">
        <f>'приложение 4'!H28</f>
        <v>58.8</v>
      </c>
      <c r="H265" s="167">
        <f>'приложение 4'!I28</f>
        <v>58.8</v>
      </c>
    </row>
    <row r="266" spans="1:8" ht="62.4">
      <c r="A266" s="311">
        <v>203</v>
      </c>
      <c r="B266" s="143" t="s">
        <v>37</v>
      </c>
      <c r="C266" s="75">
        <f>'приложение 4'!E51</f>
        <v>9170051180</v>
      </c>
      <c r="D266" s="75">
        <v>530</v>
      </c>
      <c r="E266" s="86" t="s">
        <v>390</v>
      </c>
      <c r="F266" s="167">
        <f>'приложение 4'!G53</f>
        <v>1451</v>
      </c>
      <c r="G266" s="167">
        <f>'приложение 4'!H53</f>
        <v>0</v>
      </c>
      <c r="H266" s="167">
        <f>'приложение 4'!I53</f>
        <v>0</v>
      </c>
    </row>
    <row r="267" spans="1:8" ht="78">
      <c r="A267" s="311">
        <v>204</v>
      </c>
      <c r="B267" s="229" t="s">
        <v>576</v>
      </c>
      <c r="C267" s="228">
        <v>9170010210</v>
      </c>
      <c r="D267" s="228">
        <v>540</v>
      </c>
      <c r="E267" s="228" t="s">
        <v>399</v>
      </c>
      <c r="F267" s="230">
        <f>'приложение 4'!G177</f>
        <v>1097.8400000000001</v>
      </c>
      <c r="G267" s="230">
        <f>'приложение 4'!H177</f>
        <v>0</v>
      </c>
      <c r="H267" s="230">
        <f>'приложение 4'!I177</f>
        <v>0</v>
      </c>
    </row>
    <row r="268" spans="1:8" ht="15">
      <c r="A268" s="324">
        <v>205</v>
      </c>
      <c r="B268" s="328" t="s">
        <v>65</v>
      </c>
      <c r="C268" s="324">
        <f>'приложение 4'!E195</f>
        <v>9170076040</v>
      </c>
      <c r="D268" s="75">
        <v>120</v>
      </c>
      <c r="E268" s="86" t="s">
        <v>388</v>
      </c>
      <c r="F268" s="167">
        <f>'приложение 4'!G197</f>
        <v>469.05</v>
      </c>
      <c r="G268" s="167">
        <f>'приложение 4'!H197</f>
        <v>469.05</v>
      </c>
      <c r="H268" s="167">
        <f>'приложение 4'!I197</f>
        <v>469.05</v>
      </c>
    </row>
    <row r="269" spans="1:8" ht="15">
      <c r="A269" s="324"/>
      <c r="B269" s="328"/>
      <c r="C269" s="324"/>
      <c r="D269" s="75">
        <v>240</v>
      </c>
      <c r="E269" s="86" t="s">
        <v>388</v>
      </c>
      <c r="F269" s="167">
        <f>'приложение 4'!G199</f>
        <v>51.45</v>
      </c>
      <c r="G269" s="167">
        <f>'приложение 4'!H199</f>
        <v>51.45</v>
      </c>
      <c r="H269" s="167">
        <f>'приложение 4'!I199</f>
        <v>51.45</v>
      </c>
    </row>
    <row r="270" spans="1:8" ht="15">
      <c r="A270" s="311">
        <v>206</v>
      </c>
      <c r="B270" s="49" t="s">
        <v>69</v>
      </c>
      <c r="C270" s="75">
        <f>'приложение 4'!E202</f>
        <v>9170010110</v>
      </c>
      <c r="D270" s="75">
        <v>870</v>
      </c>
      <c r="E270" s="86" t="s">
        <v>401</v>
      </c>
      <c r="F270" s="167">
        <f>'приложение 4'!G204</f>
        <v>339.29</v>
      </c>
      <c r="G270" s="167">
        <f>'приложение 4'!H204</f>
        <v>350</v>
      </c>
      <c r="H270" s="167">
        <f>'приложение 4'!I204</f>
        <v>350</v>
      </c>
    </row>
    <row r="271" spans="1:8" ht="54.75" customHeight="1">
      <c r="A271" s="311">
        <v>207</v>
      </c>
      <c r="B271" s="74" t="s">
        <v>75</v>
      </c>
      <c r="C271" s="75">
        <f>'приложение 4'!E470</f>
        <v>9170000850</v>
      </c>
      <c r="D271" s="75">
        <v>240</v>
      </c>
      <c r="E271" s="86" t="s">
        <v>186</v>
      </c>
      <c r="F271" s="167">
        <f>'приложение 4'!G472</f>
        <v>496.7</v>
      </c>
      <c r="G271" s="167">
        <f>'приложение 4'!H472</f>
        <v>400</v>
      </c>
      <c r="H271" s="167">
        <f>'приложение 4'!I472</f>
        <v>400</v>
      </c>
    </row>
    <row r="272" spans="1:8" ht="36.75" customHeight="1">
      <c r="A272" s="311">
        <v>208</v>
      </c>
      <c r="B272" s="74" t="s">
        <v>76</v>
      </c>
      <c r="C272" s="75">
        <f>'приложение 4'!E473</f>
        <v>9170017110</v>
      </c>
      <c r="D272" s="75">
        <v>240</v>
      </c>
      <c r="E272" s="86" t="s">
        <v>186</v>
      </c>
      <c r="F272" s="167">
        <f>'приложение 4'!G475</f>
        <v>284.89</v>
      </c>
      <c r="G272" s="167">
        <f>'приложение 4'!H475</f>
        <v>300</v>
      </c>
      <c r="H272" s="167">
        <f>'приложение 4'!I475</f>
        <v>300</v>
      </c>
    </row>
    <row r="273" spans="1:8" ht="124.8">
      <c r="A273" s="311">
        <v>209</v>
      </c>
      <c r="B273" s="121" t="s">
        <v>441</v>
      </c>
      <c r="C273" s="122">
        <f>'приложение 4'!E209</f>
        <v>9170074160</v>
      </c>
      <c r="D273" s="122">
        <v>360</v>
      </c>
      <c r="E273" s="122" t="s">
        <v>186</v>
      </c>
      <c r="F273" s="167">
        <f>'приложение 4'!G209</f>
        <v>4278.2</v>
      </c>
      <c r="G273" s="167">
        <f>'приложение 4'!H209</f>
        <v>0</v>
      </c>
      <c r="H273" s="167">
        <f>'приложение 4'!I209</f>
        <v>0</v>
      </c>
    </row>
    <row r="274" spans="1:8" ht="54" customHeight="1">
      <c r="A274" s="318">
        <v>210</v>
      </c>
      <c r="B274" s="350" t="s">
        <v>443</v>
      </c>
      <c r="C274" s="318">
        <f>'приложение 4'!E212</f>
        <v>9170074170</v>
      </c>
      <c r="D274" s="122">
        <v>120</v>
      </c>
      <c r="E274" s="122" t="s">
        <v>186</v>
      </c>
      <c r="F274" s="167">
        <f>'приложение 4'!G212</f>
        <v>510.64000000000004</v>
      </c>
      <c r="G274" s="167">
        <f>'приложение 4'!H212</f>
        <v>0</v>
      </c>
      <c r="H274" s="167">
        <f>'приложение 4'!I212</f>
        <v>0</v>
      </c>
    </row>
    <row r="275" spans="1:8" ht="59.25" customHeight="1">
      <c r="A275" s="320"/>
      <c r="B275" s="351"/>
      <c r="C275" s="320"/>
      <c r="D275" s="228">
        <v>240</v>
      </c>
      <c r="E275" s="228" t="s">
        <v>186</v>
      </c>
      <c r="F275" s="230">
        <f>'приложение 4'!G214</f>
        <v>33.96</v>
      </c>
      <c r="G275" s="230">
        <f>'приложение 4'!H214</f>
        <v>0</v>
      </c>
      <c r="H275" s="230">
        <f>'приложение 4'!I214</f>
        <v>0</v>
      </c>
    </row>
    <row r="276" spans="1:8" ht="40.5" customHeight="1">
      <c r="A276" s="324">
        <v>211</v>
      </c>
      <c r="B276" s="346" t="s">
        <v>71</v>
      </c>
      <c r="C276" s="324">
        <f>'приложение 4'!E215</f>
        <v>9170074290</v>
      </c>
      <c r="D276" s="75">
        <v>120</v>
      </c>
      <c r="E276" s="86" t="s">
        <v>186</v>
      </c>
      <c r="F276" s="167">
        <f>'приложение 4'!G217</f>
        <v>32.83</v>
      </c>
      <c r="G276" s="167">
        <f>'приложение 4'!H217</f>
        <v>32.83</v>
      </c>
      <c r="H276" s="167">
        <f>'приложение 4'!I217</f>
        <v>32.83</v>
      </c>
    </row>
    <row r="277" spans="1:8" ht="30.75" customHeight="1">
      <c r="A277" s="324"/>
      <c r="B277" s="347"/>
      <c r="C277" s="324"/>
      <c r="D277" s="75">
        <v>240</v>
      </c>
      <c r="E277" s="86" t="s">
        <v>186</v>
      </c>
      <c r="F277" s="167">
        <f>'приложение 4'!G219</f>
        <v>1.77</v>
      </c>
      <c r="G277" s="167">
        <f>'приложение 4'!H219</f>
        <v>1.77</v>
      </c>
      <c r="H277" s="167">
        <f>'приложение 4'!I219</f>
        <v>1.77</v>
      </c>
    </row>
    <row r="278" spans="1:8" ht="31.2">
      <c r="A278" s="311">
        <v>212</v>
      </c>
      <c r="B278" s="74" t="s">
        <v>74</v>
      </c>
      <c r="C278" s="75">
        <f>'приложение 4'!E413</f>
        <v>9170075550</v>
      </c>
      <c r="D278" s="75">
        <v>240</v>
      </c>
      <c r="E278" s="86" t="s">
        <v>186</v>
      </c>
      <c r="F278" s="167">
        <f>'приложение 4'!G415</f>
        <v>192.85</v>
      </c>
      <c r="G278" s="167">
        <f>'приложение 4'!H415</f>
        <v>194</v>
      </c>
      <c r="H278" s="167">
        <f>'приложение 4'!I415</f>
        <v>194</v>
      </c>
    </row>
    <row r="279" spans="1:8" ht="31.2">
      <c r="A279" s="311">
        <v>213</v>
      </c>
      <c r="B279" s="74" t="s">
        <v>77</v>
      </c>
      <c r="C279" s="75" t="str">
        <f>'приложение 4'!E417</f>
        <v>91700S5550</v>
      </c>
      <c r="D279" s="75">
        <v>240</v>
      </c>
      <c r="E279" s="86" t="s">
        <v>186</v>
      </c>
      <c r="F279" s="167">
        <f>'приложение 4'!G418</f>
        <v>24</v>
      </c>
      <c r="G279" s="167">
        <f>'приложение 4'!H418</f>
        <v>24</v>
      </c>
      <c r="H279" s="167">
        <f>'приложение 4'!I418</f>
        <v>24</v>
      </c>
    </row>
    <row r="280" spans="1:8" ht="62.4">
      <c r="A280" s="311">
        <v>214</v>
      </c>
      <c r="B280" s="74" t="s">
        <v>72</v>
      </c>
      <c r="C280" s="75">
        <f>'приложение 4'!E220</f>
        <v>9170092020</v>
      </c>
      <c r="D280" s="75">
        <v>830</v>
      </c>
      <c r="E280" s="86" t="s">
        <v>186</v>
      </c>
      <c r="F280" s="167">
        <f>'приложение 4'!G222</f>
        <v>1.0000000000000284</v>
      </c>
      <c r="G280" s="167">
        <f>'приложение 4'!H222</f>
        <v>800</v>
      </c>
      <c r="H280" s="167">
        <f>'приложение 4'!I222</f>
        <v>800</v>
      </c>
    </row>
    <row r="281" spans="1:8" ht="15">
      <c r="A281" s="318">
        <v>215</v>
      </c>
      <c r="B281" s="329" t="s">
        <v>343</v>
      </c>
      <c r="C281" s="318">
        <f>'приложение 4'!E463</f>
        <v>9170000620</v>
      </c>
      <c r="D281" s="75">
        <v>110</v>
      </c>
      <c r="E281" s="86" t="s">
        <v>186</v>
      </c>
      <c r="F281" s="167">
        <f>'приложение 4'!G465</f>
        <v>3391.28</v>
      </c>
      <c r="G281" s="167">
        <f>'приложение 4'!H465</f>
        <v>2874.88</v>
      </c>
      <c r="H281" s="167">
        <f>'приложение 4'!I465</f>
        <v>2874.88</v>
      </c>
    </row>
    <row r="282" spans="1:8" ht="15">
      <c r="A282" s="319"/>
      <c r="B282" s="325"/>
      <c r="C282" s="319"/>
      <c r="D282" s="75">
        <v>240</v>
      </c>
      <c r="E282" s="86" t="s">
        <v>186</v>
      </c>
      <c r="F282" s="167">
        <f>'приложение 4'!G467</f>
        <v>1059.34</v>
      </c>
      <c r="G282" s="167">
        <f>'приложение 4'!H467</f>
        <v>741.19</v>
      </c>
      <c r="H282" s="167">
        <f>'приложение 4'!I467</f>
        <v>741.19</v>
      </c>
    </row>
    <row r="283" spans="1:8" ht="15">
      <c r="A283" s="320"/>
      <c r="B283" s="326"/>
      <c r="C283" s="320"/>
      <c r="D283" s="150">
        <v>850</v>
      </c>
      <c r="E283" s="150" t="s">
        <v>186</v>
      </c>
      <c r="F283" s="167">
        <f>'приложение 4'!G469</f>
        <v>4.85</v>
      </c>
      <c r="G283" s="167">
        <f>'приложение 4'!H469</f>
        <v>2</v>
      </c>
      <c r="H283" s="167">
        <f>'приложение 4'!I469</f>
        <v>2</v>
      </c>
    </row>
    <row r="284" spans="1:8" ht="15.75" customHeight="1">
      <c r="A284" s="318">
        <v>216</v>
      </c>
      <c r="B284" s="341" t="s">
        <v>184</v>
      </c>
      <c r="C284" s="318">
        <f>'приложение 4'!E831</f>
        <v>9180000210</v>
      </c>
      <c r="D284" s="75">
        <v>120</v>
      </c>
      <c r="E284" s="86" t="s">
        <v>19</v>
      </c>
      <c r="F284" s="167">
        <f>'приложение 4'!G833</f>
        <v>1201.0900000000001</v>
      </c>
      <c r="G284" s="167">
        <f>'приложение 4'!H833</f>
        <v>1401.27</v>
      </c>
      <c r="H284" s="167">
        <f>'приложение 4'!I833</f>
        <v>1401.27</v>
      </c>
    </row>
    <row r="285" spans="1:8" ht="15">
      <c r="A285" s="319"/>
      <c r="B285" s="342"/>
      <c r="C285" s="319"/>
      <c r="D285" s="75">
        <v>240</v>
      </c>
      <c r="E285" s="86" t="s">
        <v>19</v>
      </c>
      <c r="F285" s="167">
        <f>'приложение 4'!G835</f>
        <v>185.05</v>
      </c>
      <c r="G285" s="167">
        <f>'приложение 4'!H835</f>
        <v>210.05</v>
      </c>
      <c r="H285" s="167">
        <f>'приложение 4'!I835</f>
        <v>210.05</v>
      </c>
    </row>
    <row r="286" spans="1:8" ht="15">
      <c r="A286" s="319"/>
      <c r="B286" s="342"/>
      <c r="C286" s="319"/>
      <c r="D286" s="192">
        <v>830</v>
      </c>
      <c r="E286" s="192" t="s">
        <v>19</v>
      </c>
      <c r="F286" s="193">
        <f>'приложение 4'!G837</f>
        <v>9.83</v>
      </c>
      <c r="G286" s="193">
        <f>'приложение 4'!H837</f>
        <v>0</v>
      </c>
      <c r="H286" s="193">
        <f>'приложение 4'!I837</f>
        <v>0</v>
      </c>
    </row>
    <row r="287" spans="1:8" ht="15">
      <c r="A287" s="320"/>
      <c r="B287" s="343"/>
      <c r="C287" s="320"/>
      <c r="D287" s="150">
        <v>850</v>
      </c>
      <c r="E287" s="151" t="s">
        <v>19</v>
      </c>
      <c r="F287" s="167">
        <f>'приложение 4'!G838</f>
        <v>0.5</v>
      </c>
      <c r="G287" s="167">
        <f>'приложение 4'!H838</f>
        <v>0.5</v>
      </c>
      <c r="H287" s="167">
        <f>'приложение 4'!I838</f>
        <v>0.5</v>
      </c>
    </row>
    <row r="288" spans="1:8" ht="15">
      <c r="A288" s="311">
        <v>217</v>
      </c>
      <c r="B288" s="147" t="s">
        <v>382</v>
      </c>
      <c r="C288" s="84">
        <f>'приложение 4'!E157</f>
        <v>9170000910</v>
      </c>
      <c r="D288" s="84">
        <v>730</v>
      </c>
      <c r="E288" s="86" t="s">
        <v>396</v>
      </c>
      <c r="F288" s="167">
        <f>'приложение 4'!G157</f>
        <v>5</v>
      </c>
      <c r="G288" s="167">
        <f>'приложение 4'!H157</f>
        <v>162.5</v>
      </c>
      <c r="H288" s="167">
        <f>'приложение 4'!I157</f>
        <v>162.5</v>
      </c>
    </row>
    <row r="289" spans="1:8" ht="22.5" customHeight="1">
      <c r="A289" s="311">
        <v>218</v>
      </c>
      <c r="B289" s="148" t="s">
        <v>294</v>
      </c>
      <c r="C289" s="47"/>
      <c r="D289" s="47"/>
      <c r="E289" s="47"/>
      <c r="F289" s="152">
        <f>F290+F291+F292+F293+F294+F295</f>
        <v>4520.1</v>
      </c>
      <c r="G289" s="152">
        <f aca="true" t="shared" si="54" ref="G289:H289">G290+G291+G292+G293+G294+G295</f>
        <v>6666.9</v>
      </c>
      <c r="H289" s="152">
        <f t="shared" si="54"/>
        <v>6666.9</v>
      </c>
    </row>
    <row r="290" spans="1:8" ht="15.75" customHeight="1">
      <c r="A290" s="318">
        <v>219</v>
      </c>
      <c r="B290" s="329" t="s">
        <v>297</v>
      </c>
      <c r="C290" s="318">
        <f>'приложение 4'!E843</f>
        <v>8110000210</v>
      </c>
      <c r="D290" s="75">
        <v>120</v>
      </c>
      <c r="E290" s="86" t="s">
        <v>414</v>
      </c>
      <c r="F290" s="167">
        <f>'приложение 4'!G845</f>
        <v>1766.48</v>
      </c>
      <c r="G290" s="167">
        <f>'приложение 4'!H845</f>
        <v>1857.48</v>
      </c>
      <c r="H290" s="167">
        <f>'приложение 4'!I845</f>
        <v>1857.48</v>
      </c>
    </row>
    <row r="291" spans="1:8" ht="15">
      <c r="A291" s="319"/>
      <c r="B291" s="325"/>
      <c r="C291" s="319"/>
      <c r="D291" s="75">
        <v>240</v>
      </c>
      <c r="E291" s="86" t="s">
        <v>414</v>
      </c>
      <c r="F291" s="167">
        <f>'приложение 4'!G847</f>
        <v>1181.6399999999999</v>
      </c>
      <c r="G291" s="167">
        <f>'приложение 4'!H847</f>
        <v>2456.24</v>
      </c>
      <c r="H291" s="167">
        <f>'приложение 4'!I847</f>
        <v>2456.24</v>
      </c>
    </row>
    <row r="292" spans="1:8" ht="15">
      <c r="A292" s="319"/>
      <c r="B292" s="325"/>
      <c r="C292" s="319"/>
      <c r="D292" s="311">
        <v>830</v>
      </c>
      <c r="E292" s="311" t="s">
        <v>414</v>
      </c>
      <c r="F292" s="310">
        <f>'приложение 4'!G849</f>
        <v>1</v>
      </c>
      <c r="G292" s="310">
        <f>'приложение 4'!H849</f>
        <v>0</v>
      </c>
      <c r="H292" s="310">
        <f>'приложение 4'!I849</f>
        <v>0</v>
      </c>
    </row>
    <row r="293" spans="1:8" ht="15">
      <c r="A293" s="320"/>
      <c r="B293" s="326"/>
      <c r="C293" s="320"/>
      <c r="D293" s="150">
        <v>850</v>
      </c>
      <c r="E293" s="150" t="s">
        <v>414</v>
      </c>
      <c r="F293" s="167">
        <f>'приложение 4'!G850</f>
        <v>0.5</v>
      </c>
      <c r="G293" s="167">
        <f>'приложение 4'!H850</f>
        <v>0.5</v>
      </c>
      <c r="H293" s="167">
        <f>'приложение 4'!I850</f>
        <v>0.5</v>
      </c>
    </row>
    <row r="294" spans="1:8" ht="15">
      <c r="A294" s="309">
        <v>220</v>
      </c>
      <c r="B294" s="146" t="s">
        <v>295</v>
      </c>
      <c r="C294" s="120">
        <f>'приложение 4'!E851</f>
        <v>8110000230</v>
      </c>
      <c r="D294" s="75">
        <v>120</v>
      </c>
      <c r="E294" s="86" t="s">
        <v>414</v>
      </c>
      <c r="F294" s="167">
        <f>'приложение 4'!G853</f>
        <v>784.2600000000001</v>
      </c>
      <c r="G294" s="167">
        <f>'приложение 4'!H853</f>
        <v>1105.63</v>
      </c>
      <c r="H294" s="167">
        <f>'приложение 4'!I853</f>
        <v>1105.63</v>
      </c>
    </row>
    <row r="295" spans="1:8" ht="15">
      <c r="A295" s="309">
        <v>221</v>
      </c>
      <c r="B295" s="145" t="s">
        <v>296</v>
      </c>
      <c r="C295" s="120">
        <f>'приложение 4'!E854</f>
        <v>8110000240</v>
      </c>
      <c r="D295" s="75">
        <v>120</v>
      </c>
      <c r="E295" s="86" t="s">
        <v>414</v>
      </c>
      <c r="F295" s="167">
        <f>'приложение 4'!G856</f>
        <v>786.2199999999999</v>
      </c>
      <c r="G295" s="167">
        <f>'приложение 4'!H856</f>
        <v>1247.05</v>
      </c>
      <c r="H295" s="167">
        <f>'приложение 4'!I856</f>
        <v>1247.05</v>
      </c>
    </row>
    <row r="296" spans="1:8" ht="15">
      <c r="A296" s="309">
        <v>222</v>
      </c>
      <c r="B296" s="49" t="s">
        <v>375</v>
      </c>
      <c r="C296" s="75"/>
      <c r="D296" s="75"/>
      <c r="E296" s="75"/>
      <c r="F296" s="167"/>
      <c r="G296" s="167">
        <f>'приложение 4'!H857</f>
        <v>22112.9</v>
      </c>
      <c r="H296" s="167">
        <f>'приложение 4'!I857</f>
        <v>49167.12</v>
      </c>
    </row>
    <row r="297" spans="1:8" ht="15">
      <c r="A297" s="311">
        <v>223</v>
      </c>
      <c r="B297" s="68" t="s">
        <v>376</v>
      </c>
      <c r="C297" s="47"/>
      <c r="D297" s="47"/>
      <c r="E297" s="47"/>
      <c r="F297" s="152">
        <f>F17+F45+F129+F144+F153+F172+F183+F193+F215+F233+F252+F263+F289+F90+F199+F256</f>
        <v>1091587.425</v>
      </c>
      <c r="G297" s="152">
        <f>G17+G45+G129+G144+G153+G172+G183+G193+G215+G233+G252+G263+G289+G90+G199+G256+G296</f>
        <v>900220.06</v>
      </c>
      <c r="H297" s="152">
        <f>H17+H45+H129+H144+H153+H172+H183+H193+H215+H233+H252+H263+H289+H90+H199+H256+H296</f>
        <v>967474.28</v>
      </c>
    </row>
    <row r="298" spans="1:8" ht="15">
      <c r="A298" s="80"/>
      <c r="B298" s="61"/>
      <c r="C298" s="54"/>
      <c r="D298" s="54"/>
      <c r="E298" s="54"/>
      <c r="F298" s="54"/>
      <c r="G298" s="54"/>
      <c r="H298" s="54"/>
    </row>
    <row r="299" spans="1:8" ht="15">
      <c r="A299" s="80"/>
      <c r="B299" s="61"/>
      <c r="C299" s="54"/>
      <c r="D299" s="54"/>
      <c r="E299" s="54"/>
      <c r="F299" s="89">
        <f>'приложение 4'!G858-'приложение 5'!F297</f>
        <v>0</v>
      </c>
      <c r="G299" s="89">
        <f>'приложение 4'!H858-'приложение 5'!G297</f>
        <v>0</v>
      </c>
      <c r="H299" s="89">
        <f>'приложение 4'!I858-'приложение 5'!H297</f>
        <v>0</v>
      </c>
    </row>
    <row r="300" spans="1:8" ht="15">
      <c r="A300" s="80"/>
      <c r="B300" s="61"/>
      <c r="C300" s="54"/>
      <c r="D300" s="54"/>
      <c r="E300" s="54"/>
      <c r="F300" s="54"/>
      <c r="G300" s="54"/>
      <c r="H300" s="54"/>
    </row>
    <row r="301" spans="1:8" ht="15">
      <c r="A301" s="80"/>
      <c r="B301" s="61"/>
      <c r="C301" s="54"/>
      <c r="D301" s="54"/>
      <c r="E301" s="54"/>
      <c r="F301" s="54"/>
      <c r="G301" s="54"/>
      <c r="H301" s="54"/>
    </row>
    <row r="302" spans="1:8" ht="15">
      <c r="A302" s="80"/>
      <c r="B302" s="61"/>
      <c r="C302" s="54"/>
      <c r="D302" s="54"/>
      <c r="E302" s="54"/>
      <c r="F302" s="54"/>
      <c r="G302" s="54"/>
      <c r="H302" s="54"/>
    </row>
    <row r="303" spans="1:8" ht="15">
      <c r="A303" s="80"/>
      <c r="B303" s="61"/>
      <c r="C303" s="54"/>
      <c r="D303" s="54"/>
      <c r="E303" s="54"/>
      <c r="F303" s="54"/>
      <c r="G303" s="54"/>
      <c r="H303" s="54"/>
    </row>
    <row r="304" spans="1:8" ht="15">
      <c r="A304" s="80"/>
      <c r="B304" s="61"/>
      <c r="C304" s="54"/>
      <c r="D304" s="54"/>
      <c r="E304" s="54"/>
      <c r="F304" s="54"/>
      <c r="G304" s="54"/>
      <c r="H304" s="54"/>
    </row>
    <row r="305" spans="1:8" ht="15">
      <c r="A305" s="80"/>
      <c r="B305" s="61"/>
      <c r="C305" s="54"/>
      <c r="D305" s="54"/>
      <c r="E305" s="54"/>
      <c r="F305" s="54"/>
      <c r="G305" s="54"/>
      <c r="H305" s="54"/>
    </row>
    <row r="306" spans="1:8" ht="15">
      <c r="A306" s="80"/>
      <c r="B306" s="61"/>
      <c r="C306" s="54"/>
      <c r="D306" s="54"/>
      <c r="E306" s="54"/>
      <c r="F306" s="54"/>
      <c r="G306" s="54"/>
      <c r="H306" s="54"/>
    </row>
    <row r="307" spans="1:8" ht="15">
      <c r="A307" s="80"/>
      <c r="B307" s="61"/>
      <c r="C307" s="54"/>
      <c r="D307" s="54"/>
      <c r="E307" s="54"/>
      <c r="F307" s="54"/>
      <c r="G307" s="54"/>
      <c r="H307" s="54"/>
    </row>
    <row r="308" spans="1:8" ht="15">
      <c r="A308" s="80"/>
      <c r="B308" s="61"/>
      <c r="C308" s="54"/>
      <c r="D308" s="54"/>
      <c r="E308" s="54"/>
      <c r="F308" s="54"/>
      <c r="G308" s="54"/>
      <c r="H308" s="54"/>
    </row>
    <row r="309" spans="1:8" ht="15">
      <c r="A309" s="80"/>
      <c r="B309" s="61"/>
      <c r="C309" s="54"/>
      <c r="D309" s="54"/>
      <c r="E309" s="54"/>
      <c r="F309" s="54"/>
      <c r="G309" s="54"/>
      <c r="H309" s="54"/>
    </row>
    <row r="310" spans="1:8" ht="15">
      <c r="A310" s="80"/>
      <c r="B310" s="61"/>
      <c r="C310" s="54"/>
      <c r="D310" s="54"/>
      <c r="E310" s="54"/>
      <c r="F310" s="54"/>
      <c r="G310" s="54"/>
      <c r="H310" s="54"/>
    </row>
    <row r="311" spans="1:8" ht="15">
      <c r="A311" s="80"/>
      <c r="B311" s="61"/>
      <c r="C311" s="54"/>
      <c r="D311" s="54"/>
      <c r="E311" s="54"/>
      <c r="F311" s="54"/>
      <c r="G311" s="54"/>
      <c r="H311" s="54"/>
    </row>
    <row r="312" spans="1:8" ht="15">
      <c r="A312" s="80"/>
      <c r="B312" s="61"/>
      <c r="C312" s="54"/>
      <c r="D312" s="54"/>
      <c r="E312" s="54"/>
      <c r="F312" s="54"/>
      <c r="G312" s="54"/>
      <c r="H312" s="54"/>
    </row>
    <row r="313" spans="1:8" ht="15">
      <c r="A313" s="80"/>
      <c r="B313" s="61"/>
      <c r="C313" s="54"/>
      <c r="D313" s="54"/>
      <c r="E313" s="54"/>
      <c r="F313" s="54"/>
      <c r="G313" s="54"/>
      <c r="H313" s="54"/>
    </row>
    <row r="314" spans="1:8" ht="15">
      <c r="A314" s="80"/>
      <c r="B314" s="61"/>
      <c r="C314" s="54"/>
      <c r="D314" s="54"/>
      <c r="E314" s="54"/>
      <c r="F314" s="54"/>
      <c r="G314" s="54"/>
      <c r="H314" s="54"/>
    </row>
    <row r="315" spans="1:8" ht="15">
      <c r="A315" s="80"/>
      <c r="B315" s="61"/>
      <c r="C315" s="54"/>
      <c r="D315" s="54"/>
      <c r="E315" s="54"/>
      <c r="F315" s="54"/>
      <c r="G315" s="54"/>
      <c r="H315" s="54"/>
    </row>
    <row r="316" spans="1:8" ht="15">
      <c r="A316" s="80"/>
      <c r="B316" s="61"/>
      <c r="C316" s="54"/>
      <c r="D316" s="54"/>
      <c r="E316" s="54"/>
      <c r="F316" s="54"/>
      <c r="G316" s="54"/>
      <c r="H316" s="54"/>
    </row>
    <row r="317" spans="1:8" ht="15">
      <c r="A317" s="80"/>
      <c r="B317" s="61"/>
      <c r="C317" s="54"/>
      <c r="D317" s="54"/>
      <c r="E317" s="54"/>
      <c r="F317" s="54"/>
      <c r="G317" s="54"/>
      <c r="H317" s="54"/>
    </row>
    <row r="318" spans="1:8" ht="15">
      <c r="A318" s="80"/>
      <c r="B318" s="61"/>
      <c r="C318" s="54"/>
      <c r="D318" s="54"/>
      <c r="E318" s="54"/>
      <c r="F318" s="54"/>
      <c r="G318" s="54"/>
      <c r="H318" s="54"/>
    </row>
    <row r="319" spans="1:8" ht="15">
      <c r="A319" s="80"/>
      <c r="B319" s="61"/>
      <c r="C319" s="54"/>
      <c r="D319" s="54"/>
      <c r="E319" s="54"/>
      <c r="F319" s="54"/>
      <c r="G319" s="54"/>
      <c r="H319" s="54"/>
    </row>
    <row r="320" spans="1:8" ht="15">
      <c r="A320" s="80"/>
      <c r="B320" s="61"/>
      <c r="C320" s="54"/>
      <c r="D320" s="54"/>
      <c r="E320" s="54"/>
      <c r="F320" s="54"/>
      <c r="G320" s="54"/>
      <c r="H320" s="54"/>
    </row>
    <row r="321" spans="1:8" ht="15">
      <c r="A321" s="80"/>
      <c r="B321" s="61"/>
      <c r="C321" s="54"/>
      <c r="D321" s="54"/>
      <c r="E321" s="54"/>
      <c r="F321" s="54"/>
      <c r="G321" s="54"/>
      <c r="H321" s="54"/>
    </row>
    <row r="322" spans="1:8" ht="15">
      <c r="A322" s="80"/>
      <c r="B322" s="61"/>
      <c r="C322" s="54"/>
      <c r="D322" s="54"/>
      <c r="E322" s="54"/>
      <c r="F322" s="54"/>
      <c r="G322" s="54"/>
      <c r="H322" s="54"/>
    </row>
    <row r="323" spans="1:8" ht="15">
      <c r="A323" s="80"/>
      <c r="B323" s="61"/>
      <c r="C323" s="54"/>
      <c r="D323" s="54"/>
      <c r="E323" s="54"/>
      <c r="F323" s="54"/>
      <c r="G323" s="54"/>
      <c r="H323" s="54"/>
    </row>
    <row r="324" spans="1:8" ht="15">
      <c r="A324" s="80"/>
      <c r="B324" s="61"/>
      <c r="C324" s="54"/>
      <c r="D324" s="54"/>
      <c r="E324" s="54"/>
      <c r="F324" s="54"/>
      <c r="G324" s="54"/>
      <c r="H324" s="54"/>
    </row>
    <row r="325" spans="1:8" ht="15">
      <c r="A325" s="80"/>
      <c r="B325" s="61"/>
      <c r="C325" s="54"/>
      <c r="D325" s="54"/>
      <c r="E325" s="54"/>
      <c r="F325" s="54"/>
      <c r="G325" s="54"/>
      <c r="H325" s="54"/>
    </row>
    <row r="326" spans="1:8" ht="15">
      <c r="A326" s="80"/>
      <c r="B326" s="61"/>
      <c r="C326" s="54"/>
      <c r="D326" s="54"/>
      <c r="E326" s="54"/>
      <c r="F326" s="54"/>
      <c r="G326" s="54"/>
      <c r="H326" s="54"/>
    </row>
    <row r="327" spans="1:8" ht="15">
      <c r="A327" s="80"/>
      <c r="B327" s="61"/>
      <c r="C327" s="54"/>
      <c r="D327" s="54"/>
      <c r="E327" s="54"/>
      <c r="F327" s="54"/>
      <c r="G327" s="54"/>
      <c r="H327" s="54"/>
    </row>
    <row r="328" spans="1:8" ht="15">
      <c r="A328" s="80"/>
      <c r="B328" s="61"/>
      <c r="C328" s="54"/>
      <c r="D328" s="54"/>
      <c r="E328" s="54"/>
      <c r="F328" s="54"/>
      <c r="G328" s="54"/>
      <c r="H328" s="54"/>
    </row>
    <row r="329" spans="1:8" ht="15">
      <c r="A329" s="80"/>
      <c r="B329" s="61"/>
      <c r="C329" s="54"/>
      <c r="D329" s="54"/>
      <c r="E329" s="54"/>
      <c r="F329" s="54"/>
      <c r="G329" s="54"/>
      <c r="H329" s="54"/>
    </row>
    <row r="330" spans="1:8" ht="15">
      <c r="A330" s="80"/>
      <c r="B330" s="61"/>
      <c r="C330" s="54"/>
      <c r="D330" s="54"/>
      <c r="E330" s="54"/>
      <c r="F330" s="54"/>
      <c r="G330" s="54"/>
      <c r="H330" s="54"/>
    </row>
    <row r="331" spans="1:8" ht="15">
      <c r="A331" s="80"/>
      <c r="B331" s="61"/>
      <c r="C331" s="54"/>
      <c r="D331" s="54"/>
      <c r="E331" s="54"/>
      <c r="F331" s="54"/>
      <c r="G331" s="54"/>
      <c r="H331" s="54"/>
    </row>
    <row r="332" spans="1:8" ht="15">
      <c r="A332" s="80"/>
      <c r="B332" s="61"/>
      <c r="C332" s="54"/>
      <c r="D332" s="54"/>
      <c r="E332" s="54"/>
      <c r="F332" s="54"/>
      <c r="G332" s="54"/>
      <c r="H332" s="54"/>
    </row>
    <row r="333" spans="1:8" ht="15">
      <c r="A333" s="80"/>
      <c r="B333" s="61"/>
      <c r="C333" s="54"/>
      <c r="D333" s="54"/>
      <c r="E333" s="54"/>
      <c r="F333" s="54"/>
      <c r="G333" s="54"/>
      <c r="H333" s="54"/>
    </row>
    <row r="334" spans="1:8" ht="15">
      <c r="A334" s="80"/>
      <c r="B334" s="61"/>
      <c r="C334" s="54"/>
      <c r="D334" s="54"/>
      <c r="E334" s="54"/>
      <c r="F334" s="54"/>
      <c r="G334" s="54"/>
      <c r="H334" s="54"/>
    </row>
    <row r="335" spans="1:8" ht="15">
      <c r="A335" s="80"/>
      <c r="B335" s="61"/>
      <c r="C335" s="54"/>
      <c r="D335" s="54"/>
      <c r="E335" s="54"/>
      <c r="F335" s="54"/>
      <c r="G335" s="54"/>
      <c r="H335" s="54"/>
    </row>
    <row r="336" spans="1:8" ht="15">
      <c r="A336" s="80"/>
      <c r="B336" s="61"/>
      <c r="C336" s="54"/>
      <c r="D336" s="54"/>
      <c r="E336" s="54"/>
      <c r="F336" s="54"/>
      <c r="G336" s="54"/>
      <c r="H336" s="54"/>
    </row>
    <row r="337" spans="1:8" ht="15">
      <c r="A337" s="80"/>
      <c r="B337" s="61"/>
      <c r="C337" s="54"/>
      <c r="D337" s="54"/>
      <c r="E337" s="54"/>
      <c r="F337" s="54"/>
      <c r="G337" s="54"/>
      <c r="H337" s="54"/>
    </row>
    <row r="338" spans="1:8" ht="15">
      <c r="A338" s="80"/>
      <c r="B338" s="61"/>
      <c r="C338" s="54"/>
      <c r="D338" s="54"/>
      <c r="E338" s="54"/>
      <c r="F338" s="54"/>
      <c r="G338" s="54"/>
      <c r="H338" s="54"/>
    </row>
    <row r="339" spans="1:8" ht="15">
      <c r="A339" s="80"/>
      <c r="B339" s="61"/>
      <c r="C339" s="54"/>
      <c r="D339" s="54"/>
      <c r="E339" s="54"/>
      <c r="F339" s="54"/>
      <c r="G339" s="54"/>
      <c r="H339" s="54"/>
    </row>
    <row r="340" spans="1:8" ht="15">
      <c r="A340" s="80"/>
      <c r="B340" s="61"/>
      <c r="C340" s="54"/>
      <c r="D340" s="54"/>
      <c r="E340" s="54"/>
      <c r="F340" s="54"/>
      <c r="G340" s="54"/>
      <c r="H340" s="54"/>
    </row>
    <row r="341" spans="1:8" ht="15">
      <c r="A341" s="80"/>
      <c r="B341" s="61"/>
      <c r="C341" s="54"/>
      <c r="D341" s="54"/>
      <c r="E341" s="54"/>
      <c r="F341" s="54"/>
      <c r="G341" s="54"/>
      <c r="H341" s="54"/>
    </row>
    <row r="342" spans="1:8" ht="15">
      <c r="A342" s="80"/>
      <c r="B342" s="61"/>
      <c r="C342" s="54"/>
      <c r="D342" s="54"/>
      <c r="E342" s="54"/>
      <c r="F342" s="54"/>
      <c r="G342" s="54"/>
      <c r="H342" s="54"/>
    </row>
    <row r="343" spans="1:8" ht="15">
      <c r="A343" s="80"/>
      <c r="B343" s="61"/>
      <c r="C343" s="54"/>
      <c r="D343" s="54"/>
      <c r="E343" s="54"/>
      <c r="F343" s="54"/>
      <c r="G343" s="54"/>
      <c r="H343" s="54"/>
    </row>
    <row r="344" spans="1:8" ht="15">
      <c r="A344" s="80"/>
      <c r="B344" s="61"/>
      <c r="C344" s="54"/>
      <c r="D344" s="54"/>
      <c r="E344" s="54"/>
      <c r="F344" s="54"/>
      <c r="G344" s="54"/>
      <c r="H344" s="54"/>
    </row>
    <row r="345" spans="1:8" ht="15">
      <c r="A345" s="80"/>
      <c r="B345" s="61"/>
      <c r="C345" s="54"/>
      <c r="D345" s="54"/>
      <c r="E345" s="54"/>
      <c r="F345" s="54"/>
      <c r="G345" s="54"/>
      <c r="H345" s="54"/>
    </row>
    <row r="346" spans="1:8" ht="15">
      <c r="A346" s="80"/>
      <c r="B346" s="61"/>
      <c r="C346" s="54"/>
      <c r="D346" s="54"/>
      <c r="E346" s="54"/>
      <c r="F346" s="54"/>
      <c r="G346" s="54"/>
      <c r="H346" s="54"/>
    </row>
    <row r="347" spans="1:8" ht="15">
      <c r="A347" s="80"/>
      <c r="B347" s="61"/>
      <c r="C347" s="54"/>
      <c r="D347" s="54"/>
      <c r="E347" s="54"/>
      <c r="F347" s="54"/>
      <c r="G347" s="54"/>
      <c r="H347" s="54"/>
    </row>
    <row r="348" spans="1:8" ht="15">
      <c r="A348" s="80"/>
      <c r="B348" s="61"/>
      <c r="C348" s="54"/>
      <c r="D348" s="54"/>
      <c r="E348" s="54"/>
      <c r="F348" s="54"/>
      <c r="G348" s="54"/>
      <c r="H348" s="54"/>
    </row>
    <row r="349" spans="1:8" ht="15">
      <c r="A349" s="80"/>
      <c r="B349" s="61"/>
      <c r="C349" s="54"/>
      <c r="D349" s="54"/>
      <c r="E349" s="54"/>
      <c r="F349" s="54"/>
      <c r="G349" s="54"/>
      <c r="H349" s="54"/>
    </row>
    <row r="350" spans="1:8" ht="15">
      <c r="A350" s="80"/>
      <c r="B350" s="61"/>
      <c r="C350" s="54"/>
      <c r="D350" s="54"/>
      <c r="E350" s="54"/>
      <c r="F350" s="54"/>
      <c r="G350" s="54"/>
      <c r="H350" s="54"/>
    </row>
    <row r="351" spans="1:8" ht="15">
      <c r="A351" s="80"/>
      <c r="B351" s="61"/>
      <c r="C351" s="54"/>
      <c r="D351" s="54"/>
      <c r="E351" s="54"/>
      <c r="F351" s="54"/>
      <c r="G351" s="54"/>
      <c r="H351" s="54"/>
    </row>
    <row r="352" spans="1:8" ht="15">
      <c r="A352" s="80"/>
      <c r="B352" s="61"/>
      <c r="C352" s="54"/>
      <c r="D352" s="54"/>
      <c r="E352" s="54"/>
      <c r="F352" s="54"/>
      <c r="G352" s="54"/>
      <c r="H352" s="54"/>
    </row>
    <row r="353" spans="1:8" ht="15">
      <c r="A353" s="80"/>
      <c r="B353" s="61"/>
      <c r="C353" s="54"/>
      <c r="D353" s="54"/>
      <c r="E353" s="54"/>
      <c r="F353" s="54"/>
      <c r="G353" s="54"/>
      <c r="H353" s="54"/>
    </row>
    <row r="354" spans="1:8" ht="15">
      <c r="A354" s="80"/>
      <c r="B354" s="61"/>
      <c r="C354" s="54"/>
      <c r="D354" s="54"/>
      <c r="E354" s="54"/>
      <c r="F354" s="54"/>
      <c r="G354" s="54"/>
      <c r="H354" s="54"/>
    </row>
    <row r="355" spans="1:8" ht="15">
      <c r="A355" s="80"/>
      <c r="B355" s="61"/>
      <c r="C355" s="54"/>
      <c r="D355" s="54"/>
      <c r="E355" s="54"/>
      <c r="F355" s="54"/>
      <c r="G355" s="54"/>
      <c r="H355" s="54"/>
    </row>
    <row r="356" spans="1:8" ht="15">
      <c r="A356" s="80"/>
      <c r="B356" s="61"/>
      <c r="C356" s="54"/>
      <c r="D356" s="54"/>
      <c r="E356" s="54"/>
      <c r="F356" s="54"/>
      <c r="G356" s="54"/>
      <c r="H356" s="54"/>
    </row>
    <row r="357" spans="1:8" ht="15">
      <c r="A357" s="80"/>
      <c r="B357" s="61"/>
      <c r="C357" s="54"/>
      <c r="D357" s="54"/>
      <c r="E357" s="54"/>
      <c r="F357" s="54"/>
      <c r="G357" s="54"/>
      <c r="H357" s="54"/>
    </row>
    <row r="358" spans="1:8" ht="15">
      <c r="A358" s="80"/>
      <c r="B358" s="61"/>
      <c r="C358" s="54"/>
      <c r="D358" s="54"/>
      <c r="E358" s="54"/>
      <c r="F358" s="54"/>
      <c r="G358" s="54"/>
      <c r="H358" s="54"/>
    </row>
    <row r="359" spans="1:8" ht="15">
      <c r="A359" s="80"/>
      <c r="B359" s="61"/>
      <c r="C359" s="54"/>
      <c r="D359" s="54"/>
      <c r="E359" s="54"/>
      <c r="F359" s="54"/>
      <c r="G359" s="54"/>
      <c r="H359" s="54"/>
    </row>
    <row r="360" spans="1:8" ht="15">
      <c r="A360" s="80"/>
      <c r="B360" s="61"/>
      <c r="C360" s="54"/>
      <c r="D360" s="54"/>
      <c r="E360" s="54"/>
      <c r="F360" s="54"/>
      <c r="G360" s="54"/>
      <c r="H360" s="54"/>
    </row>
    <row r="361" spans="1:8" ht="15">
      <c r="A361" s="80"/>
      <c r="B361" s="61"/>
      <c r="C361" s="54"/>
      <c r="D361" s="54"/>
      <c r="E361" s="54"/>
      <c r="F361" s="54"/>
      <c r="G361" s="54"/>
      <c r="H361" s="54"/>
    </row>
    <row r="362" spans="1:8" ht="15">
      <c r="A362" s="80"/>
      <c r="B362" s="61"/>
      <c r="C362" s="54"/>
      <c r="D362" s="54"/>
      <c r="E362" s="54"/>
      <c r="F362" s="54"/>
      <c r="G362" s="54"/>
      <c r="H362" s="54"/>
    </row>
    <row r="363" spans="1:8" ht="15">
      <c r="A363" s="80"/>
      <c r="B363" s="61"/>
      <c r="C363" s="54"/>
      <c r="D363" s="54"/>
      <c r="E363" s="54"/>
      <c r="F363" s="54"/>
      <c r="G363" s="54"/>
      <c r="H363" s="54"/>
    </row>
    <row r="364" spans="1:8" ht="15">
      <c r="A364" s="80"/>
      <c r="B364" s="61"/>
      <c r="C364" s="54"/>
      <c r="D364" s="54"/>
      <c r="E364" s="54"/>
      <c r="F364" s="54"/>
      <c r="G364" s="54"/>
      <c r="H364" s="54"/>
    </row>
    <row r="365" spans="1:8" ht="15">
      <c r="A365" s="80"/>
      <c r="B365" s="61"/>
      <c r="C365" s="54"/>
      <c r="D365" s="54"/>
      <c r="E365" s="54"/>
      <c r="F365" s="54"/>
      <c r="G365" s="54"/>
      <c r="H365" s="54"/>
    </row>
    <row r="366" spans="1:8" ht="15">
      <c r="A366" s="80"/>
      <c r="B366" s="61"/>
      <c r="C366" s="54"/>
      <c r="D366" s="54"/>
      <c r="E366" s="54"/>
      <c r="F366" s="54"/>
      <c r="G366" s="54"/>
      <c r="H366" s="54"/>
    </row>
    <row r="367" spans="1:8" ht="15">
      <c r="A367" s="80"/>
      <c r="B367" s="61"/>
      <c r="C367" s="54"/>
      <c r="D367" s="54"/>
      <c r="E367" s="54"/>
      <c r="F367" s="54"/>
      <c r="G367" s="54"/>
      <c r="H367" s="54"/>
    </row>
    <row r="368" spans="1:8" ht="15">
      <c r="A368" s="80"/>
      <c r="B368" s="61"/>
      <c r="C368" s="54"/>
      <c r="D368" s="54"/>
      <c r="E368" s="54"/>
      <c r="F368" s="54"/>
      <c r="G368" s="54"/>
      <c r="H368" s="54"/>
    </row>
    <row r="369" spans="1:8" ht="15">
      <c r="A369" s="80"/>
      <c r="B369" s="61"/>
      <c r="C369" s="54"/>
      <c r="D369" s="54"/>
      <c r="E369" s="54"/>
      <c r="F369" s="54"/>
      <c r="G369" s="54"/>
      <c r="H369" s="54"/>
    </row>
    <row r="370" spans="1:8" ht="15">
      <c r="A370" s="80"/>
      <c r="B370" s="61"/>
      <c r="C370" s="54"/>
      <c r="D370" s="54"/>
      <c r="E370" s="54"/>
      <c r="F370" s="54"/>
      <c r="G370" s="54"/>
      <c r="H370" s="54"/>
    </row>
    <row r="371" spans="1:8" ht="15">
      <c r="A371" s="80"/>
      <c r="B371" s="61"/>
      <c r="C371" s="54"/>
      <c r="D371" s="54"/>
      <c r="E371" s="54"/>
      <c r="F371" s="54"/>
      <c r="G371" s="54"/>
      <c r="H371" s="54"/>
    </row>
    <row r="372" spans="1:8" ht="15">
      <c r="A372" s="80"/>
      <c r="B372" s="61"/>
      <c r="C372" s="54"/>
      <c r="D372" s="54"/>
      <c r="E372" s="54"/>
      <c r="F372" s="54"/>
      <c r="G372" s="54"/>
      <c r="H372" s="54"/>
    </row>
    <row r="373" spans="1:8" ht="15">
      <c r="A373" s="80"/>
      <c r="B373" s="61"/>
      <c r="C373" s="54"/>
      <c r="D373" s="54"/>
      <c r="E373" s="54"/>
      <c r="F373" s="54"/>
      <c r="G373" s="54"/>
      <c r="H373" s="54"/>
    </row>
    <row r="374" spans="1:8" ht="15">
      <c r="A374" s="80"/>
      <c r="B374" s="61"/>
      <c r="C374" s="54"/>
      <c r="D374" s="54"/>
      <c r="E374" s="54"/>
      <c r="F374" s="54"/>
      <c r="G374" s="54"/>
      <c r="H374" s="54"/>
    </row>
    <row r="375" spans="1:8" ht="15">
      <c r="A375" s="80"/>
      <c r="B375" s="61"/>
      <c r="C375" s="54"/>
      <c r="D375" s="54"/>
      <c r="E375" s="54"/>
      <c r="F375" s="54"/>
      <c r="G375" s="54"/>
      <c r="H375" s="54"/>
    </row>
    <row r="376" spans="1:8" ht="15">
      <c r="A376" s="80"/>
      <c r="B376" s="61"/>
      <c r="C376" s="54"/>
      <c r="D376" s="54"/>
      <c r="E376" s="54"/>
      <c r="F376" s="54"/>
      <c r="G376" s="54"/>
      <c r="H376" s="54"/>
    </row>
    <row r="377" spans="1:8" ht="15">
      <c r="A377" s="80"/>
      <c r="B377" s="61"/>
      <c r="C377" s="54"/>
      <c r="D377" s="54"/>
      <c r="E377" s="54"/>
      <c r="F377" s="54"/>
      <c r="G377" s="54"/>
      <c r="H377" s="54"/>
    </row>
    <row r="378" spans="1:8" ht="15">
      <c r="A378" s="80"/>
      <c r="B378" s="61"/>
      <c r="C378" s="54"/>
      <c r="D378" s="54"/>
      <c r="E378" s="54"/>
      <c r="F378" s="54"/>
      <c r="G378" s="54"/>
      <c r="H378" s="54"/>
    </row>
    <row r="379" spans="1:8" ht="15">
      <c r="A379" s="80"/>
      <c r="B379" s="61"/>
      <c r="C379" s="54"/>
      <c r="D379" s="54"/>
      <c r="E379" s="54"/>
      <c r="F379" s="54"/>
      <c r="G379" s="54"/>
      <c r="H379" s="54"/>
    </row>
    <row r="380" spans="1:8" ht="15">
      <c r="A380" s="80"/>
      <c r="B380" s="61"/>
      <c r="C380" s="54"/>
      <c r="D380" s="54"/>
      <c r="E380" s="54"/>
      <c r="F380" s="54"/>
      <c r="G380" s="54"/>
      <c r="H380" s="54"/>
    </row>
    <row r="381" spans="1:8" ht="15">
      <c r="A381" s="80"/>
      <c r="B381" s="61"/>
      <c r="C381" s="54"/>
      <c r="D381" s="54"/>
      <c r="E381" s="54"/>
      <c r="F381" s="54"/>
      <c r="G381" s="54"/>
      <c r="H381" s="54"/>
    </row>
    <row r="382" spans="1:8" ht="15">
      <c r="A382" s="80"/>
      <c r="B382" s="61"/>
      <c r="C382" s="54"/>
      <c r="D382" s="54"/>
      <c r="E382" s="54"/>
      <c r="F382" s="54"/>
      <c r="G382" s="54"/>
      <c r="H382" s="54"/>
    </row>
    <row r="383" spans="1:8" ht="15">
      <c r="A383" s="80"/>
      <c r="B383" s="61"/>
      <c r="C383" s="54"/>
      <c r="D383" s="54"/>
      <c r="E383" s="54"/>
      <c r="F383" s="54"/>
      <c r="G383" s="54"/>
      <c r="H383" s="54"/>
    </row>
    <row r="384" spans="1:8" ht="15">
      <c r="A384" s="80"/>
      <c r="B384" s="61"/>
      <c r="C384" s="54"/>
      <c r="D384" s="54"/>
      <c r="E384" s="54"/>
      <c r="F384" s="54"/>
      <c r="G384" s="54"/>
      <c r="H384" s="54"/>
    </row>
    <row r="385" spans="1:8" ht="15">
      <c r="A385" s="80"/>
      <c r="B385" s="61"/>
      <c r="C385" s="54"/>
      <c r="D385" s="54"/>
      <c r="E385" s="54"/>
      <c r="F385" s="54"/>
      <c r="G385" s="54"/>
      <c r="H385" s="54"/>
    </row>
    <row r="386" spans="1:8" ht="15">
      <c r="A386" s="80"/>
      <c r="B386" s="61"/>
      <c r="C386" s="54"/>
      <c r="D386" s="54"/>
      <c r="E386" s="54"/>
      <c r="F386" s="54"/>
      <c r="G386" s="54"/>
      <c r="H386" s="54"/>
    </row>
    <row r="387" spans="1:8" ht="15">
      <c r="A387" s="80"/>
      <c r="B387" s="61"/>
      <c r="C387" s="54"/>
      <c r="D387" s="54"/>
      <c r="E387" s="54"/>
      <c r="F387" s="54"/>
      <c r="G387" s="54"/>
      <c r="H387" s="54"/>
    </row>
    <row r="388" spans="1:8" ht="15">
      <c r="A388" s="80"/>
      <c r="B388" s="61"/>
      <c r="C388" s="54"/>
      <c r="D388" s="54"/>
      <c r="E388" s="54"/>
      <c r="F388" s="54"/>
      <c r="G388" s="54"/>
      <c r="H388" s="54"/>
    </row>
    <row r="389" spans="1:8" ht="15">
      <c r="A389" s="80"/>
      <c r="B389" s="61"/>
      <c r="C389" s="54"/>
      <c r="D389" s="54"/>
      <c r="E389" s="54"/>
      <c r="F389" s="54"/>
      <c r="G389" s="54"/>
      <c r="H389" s="54"/>
    </row>
    <row r="390" spans="1:8" ht="15">
      <c r="A390" s="80"/>
      <c r="B390" s="61"/>
      <c r="C390" s="54"/>
      <c r="D390" s="54"/>
      <c r="E390" s="54"/>
      <c r="F390" s="54"/>
      <c r="G390" s="54"/>
      <c r="H390" s="54"/>
    </row>
    <row r="391" spans="1:8" ht="15">
      <c r="A391" s="80"/>
      <c r="B391" s="61"/>
      <c r="C391" s="54"/>
      <c r="D391" s="54"/>
      <c r="E391" s="54"/>
      <c r="F391" s="54"/>
      <c r="G391" s="54"/>
      <c r="H391" s="54"/>
    </row>
    <row r="392" spans="1:8" ht="15">
      <c r="A392" s="80"/>
      <c r="B392" s="61"/>
      <c r="C392" s="54"/>
      <c r="D392" s="54"/>
      <c r="E392" s="54"/>
      <c r="F392" s="54"/>
      <c r="G392" s="54"/>
      <c r="H392" s="54"/>
    </row>
    <row r="393" spans="1:8" ht="15">
      <c r="A393" s="80"/>
      <c r="B393" s="61"/>
      <c r="C393" s="54"/>
      <c r="D393" s="54"/>
      <c r="E393" s="54"/>
      <c r="F393" s="54"/>
      <c r="G393" s="54"/>
      <c r="H393" s="54"/>
    </row>
    <row r="394" spans="1:8" ht="15">
      <c r="A394" s="80"/>
      <c r="B394" s="61"/>
      <c r="C394" s="54"/>
      <c r="D394" s="54"/>
      <c r="E394" s="54"/>
      <c r="F394" s="54"/>
      <c r="G394" s="54"/>
      <c r="H394" s="54"/>
    </row>
    <row r="395" spans="1:8" ht="15">
      <c r="A395" s="80"/>
      <c r="B395" s="61"/>
      <c r="C395" s="54"/>
      <c r="D395" s="54"/>
      <c r="E395" s="54"/>
      <c r="F395" s="54"/>
      <c r="G395" s="54"/>
      <c r="H395" s="54"/>
    </row>
    <row r="396" spans="1:8" ht="15">
      <c r="A396" s="80"/>
      <c r="B396" s="61"/>
      <c r="C396" s="54"/>
      <c r="D396" s="54"/>
      <c r="E396" s="54"/>
      <c r="F396" s="54"/>
      <c r="G396" s="54"/>
      <c r="H396" s="54"/>
    </row>
    <row r="397" spans="1:8" ht="15">
      <c r="A397" s="80"/>
      <c r="B397" s="61"/>
      <c r="C397" s="54"/>
      <c r="D397" s="54"/>
      <c r="E397" s="54"/>
      <c r="F397" s="54"/>
      <c r="G397" s="54"/>
      <c r="H397" s="54"/>
    </row>
    <row r="398" spans="1:8" ht="15">
      <c r="A398" s="80"/>
      <c r="B398" s="61"/>
      <c r="C398" s="54"/>
      <c r="D398" s="54"/>
      <c r="E398" s="54"/>
      <c r="F398" s="54"/>
      <c r="G398" s="54"/>
      <c r="H398" s="54"/>
    </row>
    <row r="399" spans="1:8" ht="15">
      <c r="A399" s="80"/>
      <c r="B399" s="61"/>
      <c r="C399" s="54"/>
      <c r="D399" s="54"/>
      <c r="E399" s="54"/>
      <c r="F399" s="54"/>
      <c r="G399" s="54"/>
      <c r="H399" s="54"/>
    </row>
  </sheetData>
  <mergeCells count="119">
    <mergeCell ref="A85:A87"/>
    <mergeCell ref="B85:B87"/>
    <mergeCell ref="C85:C87"/>
    <mergeCell ref="H48:H49"/>
    <mergeCell ref="B48:B49"/>
    <mergeCell ref="C48:C49"/>
    <mergeCell ref="D48:D49"/>
    <mergeCell ref="F48:F49"/>
    <mergeCell ref="A13:H13"/>
    <mergeCell ref="B25:B26"/>
    <mergeCell ref="C25:C26"/>
    <mergeCell ref="A25:A26"/>
    <mergeCell ref="G14:H14"/>
    <mergeCell ref="B19:B20"/>
    <mergeCell ref="A19:A20"/>
    <mergeCell ref="C19:C20"/>
    <mergeCell ref="G48:G49"/>
    <mergeCell ref="E48:E49"/>
    <mergeCell ref="B21:B23"/>
    <mergeCell ref="C21:C23"/>
    <mergeCell ref="A35:A36"/>
    <mergeCell ref="B35:B36"/>
    <mergeCell ref="C35:C36"/>
    <mergeCell ref="C37:C38"/>
    <mergeCell ref="A290:A293"/>
    <mergeCell ref="B290:B293"/>
    <mergeCell ref="C290:C293"/>
    <mergeCell ref="A284:A287"/>
    <mergeCell ref="B54:B56"/>
    <mergeCell ref="A54:A56"/>
    <mergeCell ref="C54:C56"/>
    <mergeCell ref="A118:A121"/>
    <mergeCell ref="B118:B121"/>
    <mergeCell ref="C118:C121"/>
    <mergeCell ref="B57:B58"/>
    <mergeCell ref="C57:C58"/>
    <mergeCell ref="A57:A58"/>
    <mergeCell ref="B81:B83"/>
    <mergeCell ref="C81:C83"/>
    <mergeCell ref="A81:A83"/>
    <mergeCell ref="A74:A75"/>
    <mergeCell ref="C159:C161"/>
    <mergeCell ref="C165:C167"/>
    <mergeCell ref="A281:A283"/>
    <mergeCell ref="B281:B283"/>
    <mergeCell ref="C276:C277"/>
    <mergeCell ref="A200:A201"/>
    <mergeCell ref="B187:B189"/>
    <mergeCell ref="B284:B287"/>
    <mergeCell ref="C284:C287"/>
    <mergeCell ref="C281:C283"/>
    <mergeCell ref="C212:C214"/>
    <mergeCell ref="C268:C269"/>
    <mergeCell ref="B249:B250"/>
    <mergeCell ref="A249:A250"/>
    <mergeCell ref="C249:C250"/>
    <mergeCell ref="B258:B259"/>
    <mergeCell ref="C258:C259"/>
    <mergeCell ref="B268:B269"/>
    <mergeCell ref="A268:A269"/>
    <mergeCell ref="B212:B214"/>
    <mergeCell ref="A212:A214"/>
    <mergeCell ref="A276:A277"/>
    <mergeCell ref="B276:B277"/>
    <mergeCell ref="C224:C225"/>
    <mergeCell ref="B230:B231"/>
    <mergeCell ref="A230:A231"/>
    <mergeCell ref="C230:C231"/>
    <mergeCell ref="B274:B275"/>
    <mergeCell ref="A274:A275"/>
    <mergeCell ref="C274:C275"/>
    <mergeCell ref="A187:A189"/>
    <mergeCell ref="C187:C189"/>
    <mergeCell ref="A155:A157"/>
    <mergeCell ref="A124:A125"/>
    <mergeCell ref="A126:A127"/>
    <mergeCell ref="B224:B225"/>
    <mergeCell ref="A224:A225"/>
    <mergeCell ref="C190:C191"/>
    <mergeCell ref="B150:B152"/>
    <mergeCell ref="A150:A152"/>
    <mergeCell ref="C150:C152"/>
    <mergeCell ref="A159:A161"/>
    <mergeCell ref="B159:B161"/>
    <mergeCell ref="B190:B191"/>
    <mergeCell ref="A190:A191"/>
    <mergeCell ref="B165:B167"/>
    <mergeCell ref="C126:C127"/>
    <mergeCell ref="B155:B157"/>
    <mergeCell ref="B124:B125"/>
    <mergeCell ref="C124:C125"/>
    <mergeCell ref="B126:B127"/>
    <mergeCell ref="A195:A196"/>
    <mergeCell ref="B195:B196"/>
    <mergeCell ref="C195:C196"/>
    <mergeCell ref="A27:A29"/>
    <mergeCell ref="B27:B29"/>
    <mergeCell ref="C27:C29"/>
    <mergeCell ref="A21:A23"/>
    <mergeCell ref="A165:A167"/>
    <mergeCell ref="A258:A259"/>
    <mergeCell ref="A43:A44"/>
    <mergeCell ref="B43:B44"/>
    <mergeCell ref="C43:C44"/>
    <mergeCell ref="A76:A77"/>
    <mergeCell ref="A48:A49"/>
    <mergeCell ref="A39:A41"/>
    <mergeCell ref="B37:B38"/>
    <mergeCell ref="A37:A38"/>
    <mergeCell ref="B39:B41"/>
    <mergeCell ref="C39:C41"/>
    <mergeCell ref="C155:C157"/>
    <mergeCell ref="B74:B75"/>
    <mergeCell ref="C74:C75"/>
    <mergeCell ref="B76:B77"/>
    <mergeCell ref="C76:C77"/>
    <mergeCell ref="B51:B52"/>
    <mergeCell ref="A51:A52"/>
    <mergeCell ref="C51:C52"/>
  </mergeCells>
  <printOptions/>
  <pageMargins left="0.15748031496062992" right="0.1968503937007874" top="0.7086614173228347" bottom="0.15748031496062992" header="0.15748031496062992" footer="0.1968503937007874"/>
  <pageSetup fitToHeight="25" fitToWidth="1" horizontalDpi="180" verticalDpi="180" orientation="landscape" paperSize="9" scale="90" r:id="rId1"/>
  <rowBreaks count="2" manualBreakCount="2">
    <brk id="30" max="16383" man="1"/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2017-12-22T05:50:07Z</dcterms:modified>
  <cp:category/>
  <cp:version/>
  <cp:contentType/>
  <cp:contentStatus/>
</cp:coreProperties>
</file>