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1570" windowHeight="8055"/>
  </bookViews>
  <sheets>
    <sheet name="приложение 3" sheetId="3" r:id="rId1"/>
    <sheet name="приложение 4" sheetId="1" r:id="rId2"/>
    <sheet name="приложение 5" sheetId="2" r:id="rId3"/>
  </sheets>
  <definedNames>
    <definedName name="_xlnm._FilterDatabase" localSheetId="1" hidden="1">'приложение 4'!$A$13:$M$809</definedName>
    <definedName name="_xlnm.Print_Titles" localSheetId="0">'приложение 3'!$10:$11</definedName>
    <definedName name="_xlnm.Print_Titles" localSheetId="1">'приложение 4'!$11:$12</definedName>
    <definedName name="_xlnm.Print_Titles" localSheetId="2">'приложение 5'!$9:$10</definedName>
    <definedName name="_xlnm.Print_Area" localSheetId="0">'приложение 3'!$A$1:$G$61</definedName>
    <definedName name="_xlnm.Print_Area" localSheetId="1">'приложение 4'!$A$1:$I$809</definedName>
    <definedName name="_xlnm.Print_Area" localSheetId="2">'приложение 5'!$A$1:$H$288</definedName>
  </definedNames>
  <calcPr calcId="145621"/>
</workbook>
</file>

<file path=xl/calcChain.xml><?xml version="1.0" encoding="utf-8"?>
<calcChain xmlns="http://schemas.openxmlformats.org/spreadsheetml/2006/main">
  <c r="P20" i="1" l="1"/>
  <c r="P22" i="1"/>
  <c r="P24" i="1"/>
  <c r="P27" i="1"/>
  <c r="P30" i="1"/>
  <c r="P33" i="1"/>
  <c r="P36" i="1"/>
  <c r="P41" i="1"/>
  <c r="P47" i="1"/>
  <c r="P50" i="1"/>
  <c r="P57" i="1"/>
  <c r="P64" i="1"/>
  <c r="P71" i="1"/>
  <c r="P77" i="1"/>
  <c r="P81" i="1"/>
  <c r="P88" i="1"/>
  <c r="P91" i="1"/>
  <c r="P97" i="1"/>
  <c r="P100" i="1"/>
  <c r="P103" i="1"/>
  <c r="P109" i="1"/>
  <c r="P113" i="1"/>
  <c r="P120" i="1"/>
  <c r="P127" i="1"/>
  <c r="P130" i="1"/>
  <c r="P136" i="1"/>
  <c r="P141" i="1"/>
  <c r="P146" i="1"/>
  <c r="P149" i="1"/>
  <c r="P152" i="1"/>
  <c r="P160" i="1"/>
  <c r="P163" i="1"/>
  <c r="P166" i="1"/>
  <c r="P172" i="1"/>
  <c r="P174" i="1"/>
  <c r="P176" i="1"/>
  <c r="P179" i="1"/>
  <c r="P182" i="1"/>
  <c r="P185" i="1"/>
  <c r="P188" i="1"/>
  <c r="P194" i="1"/>
  <c r="P200" i="1"/>
  <c r="P206" i="1"/>
  <c r="P212" i="1"/>
  <c r="P214" i="1"/>
  <c r="P215" i="1"/>
  <c r="P217" i="1"/>
  <c r="P220" i="1"/>
  <c r="P222" i="1"/>
  <c r="P225" i="1"/>
  <c r="P226" i="1"/>
  <c r="P229" i="1"/>
  <c r="P232" i="1"/>
  <c r="P235" i="1"/>
  <c r="P240" i="1"/>
  <c r="P242" i="1"/>
  <c r="P249" i="1"/>
  <c r="P252" i="1"/>
  <c r="P259" i="1"/>
  <c r="P261" i="1"/>
  <c r="P267" i="1"/>
  <c r="P270" i="1"/>
  <c r="P273" i="1"/>
  <c r="P279" i="1"/>
  <c r="P282" i="1"/>
  <c r="P285" i="1"/>
  <c r="P289" i="1"/>
  <c r="P292" i="1"/>
  <c r="P296" i="1"/>
  <c r="P302" i="1"/>
  <c r="P308" i="1"/>
  <c r="P312" i="1"/>
  <c r="P319" i="1"/>
  <c r="P322" i="1"/>
  <c r="P329" i="1"/>
  <c r="P330" i="1"/>
  <c r="P331" i="1"/>
  <c r="P338" i="1"/>
  <c r="P344" i="1"/>
  <c r="P353" i="1"/>
  <c r="P359" i="1"/>
  <c r="P365" i="1"/>
  <c r="P371" i="1"/>
  <c r="P373" i="1"/>
  <c r="P378" i="1"/>
  <c r="P381" i="1"/>
  <c r="P383" i="1"/>
  <c r="P391" i="1"/>
  <c r="P393" i="1"/>
  <c r="P395" i="1"/>
  <c r="P398" i="1"/>
  <c r="P401" i="1"/>
  <c r="P404" i="1"/>
  <c r="P415" i="1"/>
  <c r="P417" i="1"/>
  <c r="P422" i="1"/>
  <c r="P425" i="1"/>
  <c r="P428" i="1"/>
  <c r="P431" i="1"/>
  <c r="P433" i="1"/>
  <c r="P441" i="1"/>
  <c r="P443" i="1"/>
  <c r="P445" i="1"/>
  <c r="P447" i="1"/>
  <c r="P450" i="1"/>
  <c r="P453" i="1"/>
  <c r="P456" i="1"/>
  <c r="P469" i="1"/>
  <c r="P471" i="1"/>
  <c r="P479" i="1"/>
  <c r="P481" i="1"/>
  <c r="P483" i="1"/>
  <c r="P486" i="1"/>
  <c r="P489" i="1"/>
  <c r="P492" i="1"/>
  <c r="P497" i="1"/>
  <c r="P500" i="1"/>
  <c r="P508" i="1"/>
  <c r="P511" i="1"/>
  <c r="P514" i="1"/>
  <c r="P517" i="1"/>
  <c r="P520" i="1"/>
  <c r="P523" i="1"/>
  <c r="P526" i="1"/>
  <c r="P532" i="1"/>
  <c r="P535" i="1"/>
  <c r="P538" i="1"/>
  <c r="P541" i="1"/>
  <c r="P544" i="1"/>
  <c r="P547" i="1"/>
  <c r="P550" i="1"/>
  <c r="P553" i="1"/>
  <c r="P556" i="1"/>
  <c r="P559" i="1"/>
  <c r="P562" i="1"/>
  <c r="P565" i="1"/>
  <c r="P568" i="1"/>
  <c r="P578" i="1"/>
  <c r="P581" i="1"/>
  <c r="P584" i="1"/>
  <c r="P587" i="1"/>
  <c r="P590" i="1"/>
  <c r="P596" i="1"/>
  <c r="P598" i="1"/>
  <c r="P600" i="1"/>
  <c r="P601" i="1"/>
  <c r="P604" i="1"/>
  <c r="P607" i="1"/>
  <c r="P610" i="1"/>
  <c r="P617" i="1"/>
  <c r="P619" i="1"/>
  <c r="P622" i="1"/>
  <c r="P628" i="1"/>
  <c r="P630" i="1"/>
  <c r="P638" i="1"/>
  <c r="P641" i="1"/>
  <c r="P644" i="1"/>
  <c r="P647" i="1"/>
  <c r="P653" i="1"/>
  <c r="P662" i="1"/>
  <c r="P665" i="1"/>
  <c r="P668" i="1"/>
  <c r="P671" i="1"/>
  <c r="P675" i="1"/>
  <c r="P679" i="1"/>
  <c r="P686" i="1"/>
  <c r="P689" i="1"/>
  <c r="P692" i="1"/>
  <c r="P696" i="1"/>
  <c r="P699" i="1"/>
  <c r="P702" i="1"/>
  <c r="P705" i="1"/>
  <c r="P708" i="1"/>
  <c r="P711" i="1"/>
  <c r="P715" i="1"/>
  <c r="P718" i="1"/>
  <c r="P720" i="1"/>
  <c r="P721" i="1"/>
  <c r="P727" i="1"/>
  <c r="P729" i="1"/>
  <c r="P731" i="1"/>
  <c r="P734" i="1"/>
  <c r="P737" i="1"/>
  <c r="P740" i="1"/>
  <c r="P747" i="1"/>
  <c r="P751" i="1"/>
  <c r="P759" i="1"/>
  <c r="P761" i="1"/>
  <c r="P763" i="1"/>
  <c r="P771" i="1"/>
  <c r="P773" i="1"/>
  <c r="P775" i="1"/>
  <c r="P778" i="1"/>
  <c r="P781" i="1"/>
  <c r="P789" i="1"/>
  <c r="P791" i="1"/>
  <c r="P793" i="1"/>
  <c r="P796" i="1"/>
  <c r="P799" i="1"/>
  <c r="P802" i="1"/>
  <c r="P805" i="1"/>
  <c r="P808" i="1"/>
  <c r="C69" i="2" l="1"/>
  <c r="G60" i="2"/>
  <c r="H60" i="2"/>
  <c r="I60" i="2" s="1"/>
  <c r="F60" i="2"/>
  <c r="C60" i="2"/>
  <c r="H56" i="2" l="1"/>
  <c r="H57" i="2"/>
  <c r="H59" i="2"/>
  <c r="H61" i="2"/>
  <c r="H62" i="2"/>
  <c r="H64" i="2"/>
  <c r="H65" i="2"/>
  <c r="H67" i="2"/>
  <c r="H68" i="2"/>
  <c r="H70" i="2"/>
  <c r="H71" i="2"/>
  <c r="H72" i="2"/>
  <c r="H74" i="2"/>
  <c r="H75" i="2"/>
  <c r="H76" i="2"/>
  <c r="H77" i="2"/>
  <c r="H78" i="2"/>
  <c r="H79" i="2"/>
  <c r="H80" i="2"/>
  <c r="H83" i="2"/>
  <c r="H86" i="2"/>
  <c r="H87" i="2"/>
  <c r="H89" i="2"/>
  <c r="H90" i="2"/>
  <c r="H91" i="2"/>
  <c r="H92" i="2"/>
  <c r="H93" i="2"/>
  <c r="H95" i="2"/>
  <c r="H96" i="2"/>
  <c r="H98" i="2"/>
  <c r="H99" i="2"/>
  <c r="H38" i="2"/>
  <c r="H40" i="2"/>
  <c r="H41" i="2"/>
  <c r="H42" i="2"/>
  <c r="H43" i="2"/>
  <c r="H44" i="2"/>
  <c r="H45" i="2"/>
  <c r="H46" i="2"/>
  <c r="H47" i="2"/>
  <c r="H48" i="2"/>
  <c r="H49" i="2"/>
  <c r="H50" i="2"/>
  <c r="H51" i="2"/>
  <c r="H52" i="2"/>
  <c r="H31" i="2"/>
  <c r="H32" i="2"/>
  <c r="H33" i="2"/>
  <c r="H34" i="2"/>
  <c r="H35" i="2"/>
  <c r="H36" i="2"/>
  <c r="H22" i="2"/>
  <c r="H23" i="2"/>
  <c r="H25" i="2"/>
  <c r="H26" i="2"/>
  <c r="H27" i="2"/>
  <c r="H28" i="2"/>
  <c r="H29" i="2"/>
  <c r="H18" i="2"/>
  <c r="H19" i="2"/>
  <c r="H20" i="2"/>
  <c r="H15" i="2"/>
  <c r="H13" i="2"/>
  <c r="H134" i="2"/>
  <c r="H149" i="2"/>
  <c r="H154" i="2"/>
  <c r="H155" i="2"/>
  <c r="H158" i="2"/>
  <c r="H159" i="2"/>
  <c r="H160" i="2"/>
  <c r="H161" i="2"/>
  <c r="H162" i="2"/>
  <c r="H163" i="2"/>
  <c r="H165" i="2"/>
  <c r="H169" i="2"/>
  <c r="H171" i="2"/>
  <c r="H172" i="2"/>
  <c r="H173" i="2"/>
  <c r="H174" i="2"/>
  <c r="H177" i="2"/>
  <c r="H178" i="2"/>
  <c r="H179" i="2"/>
  <c r="H181" i="2"/>
  <c r="H182" i="2"/>
  <c r="H183" i="2"/>
  <c r="H191" i="2"/>
  <c r="H190" i="2"/>
  <c r="H188" i="2"/>
  <c r="H186" i="2"/>
  <c r="H193" i="2"/>
  <c r="H206" i="2"/>
  <c r="H207" i="2"/>
  <c r="H210" i="2"/>
  <c r="H211" i="2"/>
  <c r="H212" i="2"/>
  <c r="H213" i="2"/>
  <c r="H214" i="2"/>
  <c r="H215" i="2"/>
  <c r="H216" i="2"/>
  <c r="H217"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6" i="2"/>
  <c r="H257" i="2"/>
  <c r="H259" i="2"/>
  <c r="H260" i="2"/>
  <c r="H261" i="2"/>
  <c r="H262" i="2"/>
  <c r="H264" i="2"/>
  <c r="H266" i="2"/>
  <c r="H267" i="2"/>
  <c r="H268" i="2"/>
  <c r="H269" i="2"/>
  <c r="H270" i="2"/>
  <c r="H271" i="2"/>
  <c r="H272" i="2"/>
  <c r="H273" i="2"/>
  <c r="H274" i="2"/>
  <c r="H277" i="2"/>
  <c r="H278" i="2"/>
  <c r="H279" i="2"/>
  <c r="H280" i="2"/>
  <c r="H281" i="2"/>
  <c r="H282" i="2"/>
  <c r="H283" i="2"/>
  <c r="H285" i="2"/>
  <c r="H286" i="2"/>
  <c r="H287" i="2"/>
  <c r="G246" i="2"/>
  <c r="G174" i="2"/>
  <c r="H135" i="2"/>
  <c r="I135" i="2" s="1"/>
  <c r="G135" i="2"/>
  <c r="G38" i="2"/>
  <c r="G40" i="2"/>
  <c r="G41" i="2"/>
  <c r="G42" i="2"/>
  <c r="G43" i="2"/>
  <c r="G44" i="2"/>
  <c r="G45" i="2"/>
  <c r="G46" i="2"/>
  <c r="G47" i="2"/>
  <c r="G48" i="2"/>
  <c r="G49" i="2"/>
  <c r="G50" i="2"/>
  <c r="G52" i="2"/>
  <c r="G18" i="2"/>
  <c r="G19" i="2"/>
  <c r="G20" i="2"/>
  <c r="G22" i="2"/>
  <c r="G23" i="2"/>
  <c r="G24" i="2"/>
  <c r="G25" i="2"/>
  <c r="G26" i="2"/>
  <c r="G27" i="2"/>
  <c r="G28" i="2"/>
  <c r="G29" i="2"/>
  <c r="G31" i="2"/>
  <c r="G32" i="2"/>
  <c r="G33" i="2"/>
  <c r="G34" i="2"/>
  <c r="G35" i="2"/>
  <c r="G36" i="2"/>
  <c r="G285" i="2"/>
  <c r="G286" i="2"/>
  <c r="G287" i="2"/>
  <c r="C139" i="2"/>
  <c r="J529" i="1"/>
  <c r="K529" i="1"/>
  <c r="L529" i="1"/>
  <c r="M529" i="1"/>
  <c r="N529" i="1"/>
  <c r="O529" i="1"/>
  <c r="H552" i="1"/>
  <c r="H551" i="1" s="1"/>
  <c r="G69" i="2" s="1"/>
  <c r="I552" i="1"/>
  <c r="G552" i="1"/>
  <c r="G551" i="1" s="1"/>
  <c r="F69" i="2" s="1"/>
  <c r="I522" i="1"/>
  <c r="H522" i="1"/>
  <c r="H521" i="1" s="1"/>
  <c r="I419" i="1"/>
  <c r="P419" i="1" s="1"/>
  <c r="H758" i="1"/>
  <c r="I758" i="1"/>
  <c r="P758" i="1" s="1"/>
  <c r="J758" i="1"/>
  <c r="K758" i="1"/>
  <c r="L758" i="1"/>
  <c r="M758" i="1"/>
  <c r="N758" i="1"/>
  <c r="O758" i="1"/>
  <c r="H762" i="1"/>
  <c r="I762" i="1"/>
  <c r="P762" i="1" s="1"/>
  <c r="H760" i="1"/>
  <c r="I760" i="1"/>
  <c r="P760" i="1" s="1"/>
  <c r="H710" i="1"/>
  <c r="H709" i="1" s="1"/>
  <c r="I710" i="1"/>
  <c r="J506" i="1"/>
  <c r="K506" i="1"/>
  <c r="L506" i="1"/>
  <c r="M506" i="1"/>
  <c r="N506" i="1"/>
  <c r="O506" i="1"/>
  <c r="H525" i="1"/>
  <c r="H524" i="1" s="1"/>
  <c r="I525" i="1"/>
  <c r="H470" i="1"/>
  <c r="I470" i="1"/>
  <c r="P470" i="1" s="1"/>
  <c r="I241" i="1"/>
  <c r="I224" i="1"/>
  <c r="H224" i="1"/>
  <c r="H223" i="1" s="1"/>
  <c r="H337" i="1"/>
  <c r="H336" i="1" s="1"/>
  <c r="H335" i="1" s="1"/>
  <c r="H334" i="1" s="1"/>
  <c r="H333" i="1" s="1"/>
  <c r="I337" i="1"/>
  <c r="I269" i="1"/>
  <c r="I336" i="1" l="1"/>
  <c r="P337" i="1"/>
  <c r="I524" i="1"/>
  <c r="P524" i="1" s="1"/>
  <c r="P525" i="1"/>
  <c r="I709" i="1"/>
  <c r="P709" i="1" s="1"/>
  <c r="P710" i="1"/>
  <c r="I521" i="1"/>
  <c r="P521" i="1" s="1"/>
  <c r="P522" i="1"/>
  <c r="H24" i="2"/>
  <c r="H276" i="2"/>
  <c r="I223" i="1"/>
  <c r="P223" i="1" s="1"/>
  <c r="P224" i="1"/>
  <c r="I551" i="1"/>
  <c r="P552" i="1"/>
  <c r="H12" i="2"/>
  <c r="I285" i="2"/>
  <c r="I246" i="2"/>
  <c r="I18" i="2"/>
  <c r="I26" i="2"/>
  <c r="I22" i="2"/>
  <c r="I33" i="2"/>
  <c r="I47" i="2"/>
  <c r="I43" i="2"/>
  <c r="I286" i="2"/>
  <c r="I19" i="2"/>
  <c r="I27" i="2"/>
  <c r="I23" i="2"/>
  <c r="I34" i="2"/>
  <c r="I52" i="2"/>
  <c r="I48" i="2"/>
  <c r="I44" i="2"/>
  <c r="I40" i="2"/>
  <c r="H192" i="2"/>
  <c r="H168" i="2"/>
  <c r="H148" i="2"/>
  <c r="I287" i="2"/>
  <c r="I174" i="2"/>
  <c r="I20" i="2"/>
  <c r="I28" i="2"/>
  <c r="I24" i="2"/>
  <c r="I35" i="2"/>
  <c r="I31" i="2"/>
  <c r="I49" i="2"/>
  <c r="I45" i="2"/>
  <c r="I41" i="2"/>
  <c r="H14" i="2"/>
  <c r="I29" i="2"/>
  <c r="I25" i="2"/>
  <c r="I36" i="2"/>
  <c r="I32" i="2"/>
  <c r="I50" i="2"/>
  <c r="I46" i="2"/>
  <c r="I42" i="2"/>
  <c r="I38" i="2"/>
  <c r="H255" i="2"/>
  <c r="H284" i="2"/>
  <c r="H205" i="2"/>
  <c r="H265" i="2"/>
  <c r="H17" i="2"/>
  <c r="H21" i="2"/>
  <c r="H209" i="2"/>
  <c r="H153" i="2"/>
  <c r="H176" i="2"/>
  <c r="H170" i="2"/>
  <c r="H30" i="2"/>
  <c r="H226" i="2"/>
  <c r="H11" i="2"/>
  <c r="H189" i="2"/>
  <c r="H185" i="2"/>
  <c r="G284" i="2"/>
  <c r="G30" i="2"/>
  <c r="G21" i="2"/>
  <c r="G17" i="2"/>
  <c r="G176" i="1"/>
  <c r="G175" i="1" s="1"/>
  <c r="G225" i="1"/>
  <c r="F245" i="2" s="1"/>
  <c r="G696" i="1"/>
  <c r="G353" i="1"/>
  <c r="G352" i="1" s="1"/>
  <c r="G351" i="1" s="1"/>
  <c r="G179" i="2"/>
  <c r="I179" i="2" s="1"/>
  <c r="F179" i="2"/>
  <c r="C179" i="2"/>
  <c r="G227" i="2"/>
  <c r="I227" i="2" s="1"/>
  <c r="G228" i="2"/>
  <c r="I228" i="2" s="1"/>
  <c r="G229" i="2"/>
  <c r="I229" i="2" s="1"/>
  <c r="G230" i="2"/>
  <c r="I230" i="2" s="1"/>
  <c r="G231" i="2"/>
  <c r="I231" i="2" s="1"/>
  <c r="G232" i="2"/>
  <c r="I232" i="2" s="1"/>
  <c r="G236" i="2"/>
  <c r="I236" i="2" s="1"/>
  <c r="G237" i="2"/>
  <c r="I237" i="2" s="1"/>
  <c r="G239" i="2"/>
  <c r="I239" i="2" s="1"/>
  <c r="G242" i="2"/>
  <c r="I242" i="2" s="1"/>
  <c r="G244" i="2"/>
  <c r="I244" i="2" s="1"/>
  <c r="G245" i="2"/>
  <c r="I245" i="2" s="1"/>
  <c r="G249" i="2"/>
  <c r="I249" i="2" s="1"/>
  <c r="G235" i="2"/>
  <c r="I235" i="2" s="1"/>
  <c r="G252" i="2"/>
  <c r="I252" i="2" s="1"/>
  <c r="G240" i="2"/>
  <c r="I240" i="2" s="1"/>
  <c r="G253" i="2"/>
  <c r="I253" i="2" s="1"/>
  <c r="G233" i="2"/>
  <c r="I233" i="2" s="1"/>
  <c r="G234" i="2"/>
  <c r="I234" i="2" s="1"/>
  <c r="G251" i="2"/>
  <c r="I251" i="2" s="1"/>
  <c r="F227" i="2"/>
  <c r="F231" i="2"/>
  <c r="F238" i="2"/>
  <c r="F239" i="2"/>
  <c r="F242" i="2"/>
  <c r="F244" i="2"/>
  <c r="F249" i="2"/>
  <c r="F235" i="2"/>
  <c r="F252" i="2"/>
  <c r="F240" i="2"/>
  <c r="F253" i="2"/>
  <c r="F233" i="2"/>
  <c r="F234" i="2"/>
  <c r="F251" i="2"/>
  <c r="C251" i="2"/>
  <c r="H234" i="1"/>
  <c r="H233" i="1" s="1"/>
  <c r="I234" i="1"/>
  <c r="G234" i="1"/>
  <c r="G233" i="1" s="1"/>
  <c r="G282" i="1"/>
  <c r="F181" i="2" s="1"/>
  <c r="G289" i="1"/>
  <c r="F186" i="2" s="1"/>
  <c r="G172" i="1"/>
  <c r="F228" i="2" s="1"/>
  <c r="G174" i="1"/>
  <c r="F229" i="2" s="1"/>
  <c r="G267" i="1"/>
  <c r="G266" i="1" s="1"/>
  <c r="G265" i="1" s="1"/>
  <c r="G500" i="1"/>
  <c r="F129" i="2" s="1"/>
  <c r="G20" i="1"/>
  <c r="G791" i="1"/>
  <c r="G790" i="1" s="1"/>
  <c r="G789" i="1"/>
  <c r="F210" i="2" s="1"/>
  <c r="G802" i="1"/>
  <c r="F215" i="2" s="1"/>
  <c r="G799" i="1"/>
  <c r="G798" i="1" s="1"/>
  <c r="G797" i="1" s="1"/>
  <c r="G628" i="1"/>
  <c r="G550" i="1"/>
  <c r="G549" i="1" s="1"/>
  <c r="G548" i="1" s="1"/>
  <c r="G441" i="1"/>
  <c r="F266" i="2" s="1"/>
  <c r="G443" i="1"/>
  <c r="F267" i="2" s="1"/>
  <c r="G727" i="1"/>
  <c r="F43" i="2" s="1"/>
  <c r="G729" i="1"/>
  <c r="G728" i="1" s="1"/>
  <c r="G659" i="1"/>
  <c r="H659" i="1" s="1"/>
  <c r="G50" i="1"/>
  <c r="G601" i="1"/>
  <c r="F92" i="2" s="1"/>
  <c r="G578" i="1"/>
  <c r="G577" i="1" s="1"/>
  <c r="G576" i="1" s="1"/>
  <c r="G596" i="1"/>
  <c r="F89" i="2" s="1"/>
  <c r="G508" i="1"/>
  <c r="G532" i="1"/>
  <c r="F64" i="2" s="1"/>
  <c r="H272" i="1"/>
  <c r="H271" i="1" s="1"/>
  <c r="I272" i="1"/>
  <c r="G272" i="1"/>
  <c r="G271" i="1" s="1"/>
  <c r="G210" i="2"/>
  <c r="I210" i="2" s="1"/>
  <c r="G211" i="2"/>
  <c r="I211" i="2" s="1"/>
  <c r="G213" i="2"/>
  <c r="I213" i="2" s="1"/>
  <c r="G214" i="2"/>
  <c r="I214" i="2" s="1"/>
  <c r="G215" i="2"/>
  <c r="I215" i="2" s="1"/>
  <c r="G217" i="2"/>
  <c r="I217" i="2" s="1"/>
  <c r="G212" i="2"/>
  <c r="I212" i="2" s="1"/>
  <c r="G216" i="2"/>
  <c r="I216" i="2" s="1"/>
  <c r="F213" i="2"/>
  <c r="F212" i="2"/>
  <c r="F216" i="2"/>
  <c r="C216" i="2"/>
  <c r="H804" i="1"/>
  <c r="H803" i="1" s="1"/>
  <c r="I804" i="1"/>
  <c r="G804" i="1"/>
  <c r="G803" i="1" s="1"/>
  <c r="G220" i="2"/>
  <c r="G221" i="2"/>
  <c r="G222" i="2"/>
  <c r="G224" i="2"/>
  <c r="G223" i="2"/>
  <c r="H220" i="2"/>
  <c r="H221" i="2"/>
  <c r="H222" i="2"/>
  <c r="H224" i="2"/>
  <c r="I224" i="2" s="1"/>
  <c r="H223" i="2"/>
  <c r="F220" i="2"/>
  <c r="F222" i="2"/>
  <c r="F224" i="2"/>
  <c r="F223" i="2"/>
  <c r="C223" i="2"/>
  <c r="H777" i="1"/>
  <c r="H776" i="1" s="1"/>
  <c r="I777" i="1"/>
  <c r="G777" i="1"/>
  <c r="G776" i="1" s="1"/>
  <c r="G759" i="1"/>
  <c r="F285" i="2" s="1"/>
  <c r="F44" i="2"/>
  <c r="F45" i="2"/>
  <c r="F46" i="2"/>
  <c r="F50" i="2"/>
  <c r="F52" i="2"/>
  <c r="F40" i="2"/>
  <c r="F42" i="2"/>
  <c r="F49" i="2"/>
  <c r="F48" i="2"/>
  <c r="C48" i="2"/>
  <c r="C39" i="2"/>
  <c r="G105" i="2"/>
  <c r="G104" i="2"/>
  <c r="H102" i="2"/>
  <c r="H105" i="2"/>
  <c r="I105" i="2" s="1"/>
  <c r="H104" i="2"/>
  <c r="I104" i="2" s="1"/>
  <c r="F105" i="2"/>
  <c r="F104" i="2"/>
  <c r="C103" i="2"/>
  <c r="G89" i="2"/>
  <c r="I89" i="2" s="1"/>
  <c r="G90" i="2"/>
  <c r="I90" i="2" s="1"/>
  <c r="G98" i="2"/>
  <c r="I98" i="2" s="1"/>
  <c r="G99" i="2"/>
  <c r="I99" i="2" s="1"/>
  <c r="G92" i="2"/>
  <c r="I92" i="2" s="1"/>
  <c r="G91" i="2"/>
  <c r="I91" i="2" s="1"/>
  <c r="G95" i="2"/>
  <c r="I95" i="2" s="1"/>
  <c r="G93" i="2"/>
  <c r="I93" i="2" s="1"/>
  <c r="F98" i="2"/>
  <c r="F99" i="2"/>
  <c r="F93" i="2"/>
  <c r="C93" i="2"/>
  <c r="G64" i="2"/>
  <c r="I64" i="2" s="1"/>
  <c r="G65" i="2"/>
  <c r="I65" i="2" s="1"/>
  <c r="G67" i="2"/>
  <c r="I67" i="2" s="1"/>
  <c r="G72" i="2"/>
  <c r="I72" i="2" s="1"/>
  <c r="G74" i="2"/>
  <c r="I74" i="2" s="1"/>
  <c r="G79" i="2"/>
  <c r="I79" i="2" s="1"/>
  <c r="G80" i="2"/>
  <c r="I80" i="2" s="1"/>
  <c r="G75" i="2"/>
  <c r="I75" i="2" s="1"/>
  <c r="G76" i="2"/>
  <c r="I76" i="2" s="1"/>
  <c r="G77" i="2"/>
  <c r="I77" i="2" s="1"/>
  <c r="G78" i="2"/>
  <c r="I78" i="2" s="1"/>
  <c r="G70" i="2"/>
  <c r="I70" i="2" s="1"/>
  <c r="F72" i="2"/>
  <c r="F74" i="2"/>
  <c r="F80" i="2"/>
  <c r="F76" i="2"/>
  <c r="F78" i="2"/>
  <c r="H733" i="1"/>
  <c r="H732" i="1" s="1"/>
  <c r="I733" i="1"/>
  <c r="G733" i="1"/>
  <c r="G732" i="1" s="1"/>
  <c r="G708" i="1"/>
  <c r="G707" i="1" s="1"/>
  <c r="G706" i="1" s="1"/>
  <c r="G692" i="1"/>
  <c r="J656" i="1"/>
  <c r="K656" i="1"/>
  <c r="L656" i="1"/>
  <c r="M656" i="1"/>
  <c r="N656" i="1"/>
  <c r="O656" i="1"/>
  <c r="H661" i="1"/>
  <c r="I661" i="1"/>
  <c r="G661" i="1"/>
  <c r="G660" i="1" s="1"/>
  <c r="F103" i="2" s="1"/>
  <c r="G650" i="1"/>
  <c r="G647" i="1"/>
  <c r="F41" i="2" s="1"/>
  <c r="H640" i="1"/>
  <c r="H639" i="1" s="1"/>
  <c r="G39" i="2" s="1"/>
  <c r="I640" i="1"/>
  <c r="G640" i="1"/>
  <c r="G639" i="1" s="1"/>
  <c r="F39" i="2" s="1"/>
  <c r="G610" i="1"/>
  <c r="G609" i="1" s="1"/>
  <c r="G608" i="1" s="1"/>
  <c r="H595" i="1"/>
  <c r="H597" i="1"/>
  <c r="H599" i="1"/>
  <c r="H609" i="1"/>
  <c r="H608" i="1" s="1"/>
  <c r="H606" i="1"/>
  <c r="H605" i="1" s="1"/>
  <c r="G94" i="2" s="1"/>
  <c r="H603" i="1"/>
  <c r="H602" i="1" s="1"/>
  <c r="I595" i="1"/>
  <c r="P595" i="1" s="1"/>
  <c r="I597" i="1"/>
  <c r="I599" i="1"/>
  <c r="I609" i="1"/>
  <c r="I606" i="1"/>
  <c r="I603" i="1"/>
  <c r="J593" i="1"/>
  <c r="K593" i="1"/>
  <c r="L593" i="1"/>
  <c r="M593" i="1"/>
  <c r="N593" i="1"/>
  <c r="O593" i="1"/>
  <c r="G595" i="1"/>
  <c r="G598" i="1"/>
  <c r="F90" i="2" s="1"/>
  <c r="G600" i="1"/>
  <c r="F91" i="2" s="1"/>
  <c r="G606" i="1"/>
  <c r="G605" i="1" s="1"/>
  <c r="F94" i="2" s="1"/>
  <c r="G603" i="1"/>
  <c r="G602" i="1" s="1"/>
  <c r="G584" i="1"/>
  <c r="G583" i="1" s="1"/>
  <c r="G582" i="1" s="1"/>
  <c r="F85" i="2" s="1"/>
  <c r="G565" i="1"/>
  <c r="F77" i="2" s="1"/>
  <c r="G541" i="1"/>
  <c r="F67" i="2" s="1"/>
  <c r="G544" i="1"/>
  <c r="F68" i="2" s="1"/>
  <c r="G535" i="1"/>
  <c r="F65" i="2" s="1"/>
  <c r="G517" i="1"/>
  <c r="F59" i="2" s="1"/>
  <c r="G514" i="1"/>
  <c r="G511" i="1"/>
  <c r="G510" i="1" s="1"/>
  <c r="G509" i="1" s="1"/>
  <c r="G259" i="2"/>
  <c r="I259" i="2" s="1"/>
  <c r="G260" i="2"/>
  <c r="I260" i="2" s="1"/>
  <c r="G261" i="2"/>
  <c r="I261" i="2" s="1"/>
  <c r="G264" i="2"/>
  <c r="I264" i="2" s="1"/>
  <c r="G262" i="2"/>
  <c r="I262" i="2" s="1"/>
  <c r="F259" i="2"/>
  <c r="G481" i="1"/>
  <c r="F260" i="2" s="1"/>
  <c r="F261" i="2"/>
  <c r="F264" i="2"/>
  <c r="F262" i="2"/>
  <c r="G488" i="1"/>
  <c r="G487" i="1" s="1"/>
  <c r="F263" i="2" s="1"/>
  <c r="C263" i="2"/>
  <c r="H478" i="1"/>
  <c r="H480" i="1"/>
  <c r="H482" i="1"/>
  <c r="H491" i="1"/>
  <c r="H490" i="1" s="1"/>
  <c r="H485" i="1"/>
  <c r="H484" i="1" s="1"/>
  <c r="H488" i="1"/>
  <c r="H487" i="1" s="1"/>
  <c r="G263" i="2" s="1"/>
  <c r="I478" i="1"/>
  <c r="P478" i="1" s="1"/>
  <c r="I480" i="1"/>
  <c r="P480" i="1" s="1"/>
  <c r="I482" i="1"/>
  <c r="I491" i="1"/>
  <c r="I485" i="1"/>
  <c r="I488" i="1"/>
  <c r="J476" i="1"/>
  <c r="K476" i="1"/>
  <c r="L476" i="1"/>
  <c r="M476" i="1"/>
  <c r="N476" i="1"/>
  <c r="O476" i="1"/>
  <c r="G478" i="1"/>
  <c r="G482" i="1"/>
  <c r="G491" i="1"/>
  <c r="G490" i="1" s="1"/>
  <c r="G485" i="1"/>
  <c r="G484" i="1" s="1"/>
  <c r="G266" i="2"/>
  <c r="I266" i="2" s="1"/>
  <c r="G267" i="2"/>
  <c r="I267" i="2" s="1"/>
  <c r="G269" i="2"/>
  <c r="I269" i="2" s="1"/>
  <c r="H459" i="1"/>
  <c r="H461" i="1"/>
  <c r="G272" i="2"/>
  <c r="I272" i="2" s="1"/>
  <c r="G271" i="2"/>
  <c r="I271" i="2" s="1"/>
  <c r="G268" i="2"/>
  <c r="I268" i="2" s="1"/>
  <c r="G270" i="2"/>
  <c r="I270" i="2" s="1"/>
  <c r="G447" i="1"/>
  <c r="F269" i="2" s="1"/>
  <c r="G459" i="1"/>
  <c r="F273" i="2" s="1"/>
  <c r="G461" i="1"/>
  <c r="G460" i="1" s="1"/>
  <c r="G456" i="1"/>
  <c r="F272" i="2" s="1"/>
  <c r="F271" i="2"/>
  <c r="F268" i="2"/>
  <c r="F270" i="2"/>
  <c r="C270" i="2"/>
  <c r="H440" i="1"/>
  <c r="H442" i="1"/>
  <c r="H446" i="1"/>
  <c r="H455" i="1"/>
  <c r="H454" i="1" s="1"/>
  <c r="H452" i="1"/>
  <c r="H451" i="1" s="1"/>
  <c r="H449" i="1"/>
  <c r="H448" i="1" s="1"/>
  <c r="I442" i="1"/>
  <c r="I446" i="1"/>
  <c r="P446" i="1" s="1"/>
  <c r="I458" i="1"/>
  <c r="I460" i="1"/>
  <c r="I455" i="1"/>
  <c r="I452" i="1"/>
  <c r="I449" i="1"/>
  <c r="G444" i="1"/>
  <c r="G452" i="1"/>
  <c r="G451" i="1" s="1"/>
  <c r="G449" i="1"/>
  <c r="G448" i="1" s="1"/>
  <c r="G415" i="1"/>
  <c r="F22" i="2" s="1"/>
  <c r="G417" i="1"/>
  <c r="F23" i="2" s="1"/>
  <c r="G431" i="1"/>
  <c r="F28" i="2" s="1"/>
  <c r="F29" i="2"/>
  <c r="F24" i="2"/>
  <c r="G428" i="1"/>
  <c r="F27" i="2" s="1"/>
  <c r="F26" i="2"/>
  <c r="F25" i="2"/>
  <c r="C25" i="2"/>
  <c r="H414" i="1"/>
  <c r="H416" i="1"/>
  <c r="H418" i="1"/>
  <c r="H430" i="1"/>
  <c r="H432" i="1"/>
  <c r="H427" i="1"/>
  <c r="H426" i="1" s="1"/>
  <c r="H424" i="1"/>
  <c r="H423" i="1" s="1"/>
  <c r="H421" i="1"/>
  <c r="H420" i="1" s="1"/>
  <c r="I414" i="1"/>
  <c r="P414" i="1" s="1"/>
  <c r="I416" i="1"/>
  <c r="P416" i="1" s="1"/>
  <c r="I418" i="1"/>
  <c r="P418" i="1" s="1"/>
  <c r="I430" i="1"/>
  <c r="P430" i="1" s="1"/>
  <c r="I432" i="1"/>
  <c r="P432" i="1" s="1"/>
  <c r="I427" i="1"/>
  <c r="I424" i="1"/>
  <c r="I421" i="1"/>
  <c r="G432" i="1"/>
  <c r="G418" i="1"/>
  <c r="G424" i="1"/>
  <c r="G423" i="1" s="1"/>
  <c r="G421" i="1"/>
  <c r="G420" i="1" s="1"/>
  <c r="G158" i="2"/>
  <c r="I158" i="2" s="1"/>
  <c r="G159" i="2"/>
  <c r="I159" i="2" s="1"/>
  <c r="G160" i="2"/>
  <c r="I160" i="2" s="1"/>
  <c r="H407" i="1"/>
  <c r="G164" i="2" s="1"/>
  <c r="G163" i="2"/>
  <c r="I163" i="2" s="1"/>
  <c r="G165" i="2"/>
  <c r="I165" i="2" s="1"/>
  <c r="G162" i="2"/>
  <c r="I162" i="2" s="1"/>
  <c r="G161" i="2"/>
  <c r="I161" i="2" s="1"/>
  <c r="I407" i="1"/>
  <c r="G391" i="1"/>
  <c r="F158" i="2" s="1"/>
  <c r="G393" i="1"/>
  <c r="F159" i="2" s="1"/>
  <c r="F160" i="2"/>
  <c r="G407" i="1"/>
  <c r="F164" i="2" s="1"/>
  <c r="G404" i="1"/>
  <c r="G403" i="1" s="1"/>
  <c r="G402" i="1" s="1"/>
  <c r="G64" i="1"/>
  <c r="F165" i="2" s="1"/>
  <c r="F162" i="2"/>
  <c r="F161" i="2"/>
  <c r="C161" i="2"/>
  <c r="H390" i="1"/>
  <c r="H392" i="1"/>
  <c r="H394" i="1"/>
  <c r="H403" i="1"/>
  <c r="H402" i="1" s="1"/>
  <c r="H400" i="1"/>
  <c r="H399" i="1" s="1"/>
  <c r="H397" i="1"/>
  <c r="H396" i="1" s="1"/>
  <c r="I390" i="1"/>
  <c r="I392" i="1"/>
  <c r="I394" i="1"/>
  <c r="P394" i="1" s="1"/>
  <c r="I403" i="1"/>
  <c r="I400" i="1"/>
  <c r="I397" i="1"/>
  <c r="G394" i="1"/>
  <c r="G400" i="1"/>
  <c r="G399" i="1" s="1"/>
  <c r="G397" i="1"/>
  <c r="G396" i="1" s="1"/>
  <c r="G183" i="2"/>
  <c r="I183" i="2" s="1"/>
  <c r="F183" i="2"/>
  <c r="G238" i="2"/>
  <c r="I238" i="2" s="1"/>
  <c r="G241" i="2"/>
  <c r="I241" i="2" s="1"/>
  <c r="G243" i="2"/>
  <c r="I243" i="2" s="1"/>
  <c r="G247" i="2"/>
  <c r="I247" i="2" s="1"/>
  <c r="G248" i="2"/>
  <c r="I248" i="2" s="1"/>
  <c r="G250" i="2"/>
  <c r="I250" i="2" s="1"/>
  <c r="G200" i="1"/>
  <c r="F232" i="2" s="1"/>
  <c r="G185" i="1"/>
  <c r="F236" i="2" s="1"/>
  <c r="G188" i="1"/>
  <c r="F237" i="2" s="1"/>
  <c r="G215" i="1"/>
  <c r="F241" i="2" s="1"/>
  <c r="G220" i="1"/>
  <c r="F243" i="2" s="1"/>
  <c r="G229" i="1"/>
  <c r="F247" i="2" s="1"/>
  <c r="G371" i="1"/>
  <c r="F248" i="2" s="1"/>
  <c r="G232" i="1"/>
  <c r="F250" i="2" s="1"/>
  <c r="C233" i="2"/>
  <c r="G277" i="2"/>
  <c r="G278" i="2"/>
  <c r="I278" i="2" s="1"/>
  <c r="G281" i="2"/>
  <c r="I281" i="2" s="1"/>
  <c r="G282" i="2"/>
  <c r="I282" i="2" s="1"/>
  <c r="G283" i="2"/>
  <c r="I283" i="2" s="1"/>
  <c r="G280" i="2"/>
  <c r="I280" i="2" s="1"/>
  <c r="G279" i="2"/>
  <c r="I279" i="2" s="1"/>
  <c r="G47" i="1"/>
  <c r="F277" i="2" s="1"/>
  <c r="G57" i="1"/>
  <c r="F278" i="2" s="1"/>
  <c r="G152" i="1"/>
  <c r="F281" i="2" s="1"/>
  <c r="F282" i="2"/>
  <c r="F283" i="2"/>
  <c r="F280" i="2"/>
  <c r="F279" i="2"/>
  <c r="C279" i="2"/>
  <c r="G117" i="2"/>
  <c r="G118" i="2"/>
  <c r="G119" i="2"/>
  <c r="G120" i="2"/>
  <c r="G123" i="2"/>
  <c r="G122" i="2"/>
  <c r="G121" i="2"/>
  <c r="H117" i="2"/>
  <c r="I117" i="2" s="1"/>
  <c r="H118" i="2"/>
  <c r="H119" i="2"/>
  <c r="I119" i="2" s="1"/>
  <c r="H120" i="2"/>
  <c r="I120" i="2" s="1"/>
  <c r="H123" i="2"/>
  <c r="I123" i="2" s="1"/>
  <c r="H122" i="2"/>
  <c r="H121" i="2"/>
  <c r="I121" i="2" s="1"/>
  <c r="F117" i="2"/>
  <c r="F118" i="2"/>
  <c r="F119" i="2"/>
  <c r="G27" i="1"/>
  <c r="F120" i="2" s="1"/>
  <c r="G36" i="1"/>
  <c r="F122" i="2"/>
  <c r="F121" i="2"/>
  <c r="C121" i="2"/>
  <c r="H318" i="1"/>
  <c r="H317" i="1" s="1"/>
  <c r="H321" i="1"/>
  <c r="H320" i="1" s="1"/>
  <c r="I318" i="1"/>
  <c r="I321" i="1"/>
  <c r="G319" i="1"/>
  <c r="G318" i="1" s="1"/>
  <c r="G317" i="1" s="1"/>
  <c r="G322" i="1"/>
  <c r="G321" i="1" s="1"/>
  <c r="G320" i="1" s="1"/>
  <c r="G134" i="2"/>
  <c r="I134" i="2" s="1"/>
  <c r="G136" i="2"/>
  <c r="H136" i="2"/>
  <c r="F134" i="2"/>
  <c r="F135" i="2"/>
  <c r="F136" i="2"/>
  <c r="H108" i="1"/>
  <c r="H107" i="1" s="1"/>
  <c r="G152" i="2" s="1"/>
  <c r="G151" i="2" s="1"/>
  <c r="I108" i="1"/>
  <c r="G108" i="1"/>
  <c r="G107" i="1" s="1"/>
  <c r="H370" i="1"/>
  <c r="H372" i="1"/>
  <c r="I370" i="1"/>
  <c r="I372" i="1"/>
  <c r="G344" i="1"/>
  <c r="F96" i="2" s="1"/>
  <c r="G329" i="1"/>
  <c r="F173" i="2" s="1"/>
  <c r="H284" i="1"/>
  <c r="H283" i="1" s="1"/>
  <c r="I284" i="1"/>
  <c r="G284" i="1"/>
  <c r="G283" i="1" s="1"/>
  <c r="G259" i="1"/>
  <c r="F171" i="2" s="1"/>
  <c r="G240" i="1"/>
  <c r="H181" i="1"/>
  <c r="H180" i="1" s="1"/>
  <c r="I181" i="1"/>
  <c r="G181" i="1"/>
  <c r="G180" i="1" s="1"/>
  <c r="H162" i="1"/>
  <c r="H161" i="1" s="1"/>
  <c r="I162" i="1"/>
  <c r="G162" i="1"/>
  <c r="G161" i="1" s="1"/>
  <c r="I145" i="1"/>
  <c r="H145" i="1"/>
  <c r="H144" i="1" s="1"/>
  <c r="G145" i="1"/>
  <c r="G144" i="1" s="1"/>
  <c r="J94" i="1"/>
  <c r="K94" i="1"/>
  <c r="L94" i="1"/>
  <c r="M94" i="1"/>
  <c r="N94" i="1"/>
  <c r="O94" i="1"/>
  <c r="H29" i="1"/>
  <c r="H28" i="1" s="1"/>
  <c r="I29" i="1"/>
  <c r="G29" i="1"/>
  <c r="G28" i="1" s="1"/>
  <c r="G292" i="1"/>
  <c r="F188" i="2" s="1"/>
  <c r="G559" i="1"/>
  <c r="G622" i="1"/>
  <c r="G621" i="1" s="1"/>
  <c r="G620" i="1" s="1"/>
  <c r="F81" i="2" s="1"/>
  <c r="C81" i="2"/>
  <c r="H621" i="1"/>
  <c r="I621" i="1"/>
  <c r="G619" i="1"/>
  <c r="F79" i="2" s="1"/>
  <c r="H444" i="1"/>
  <c r="I444" i="1"/>
  <c r="P444" i="1" s="1"/>
  <c r="J185" i="1"/>
  <c r="J568" i="1"/>
  <c r="J815" i="1"/>
  <c r="G497" i="1"/>
  <c r="C253" i="2"/>
  <c r="H251" i="1"/>
  <c r="H250" i="1" s="1"/>
  <c r="I251" i="1"/>
  <c r="G251" i="1"/>
  <c r="G250" i="1" s="1"/>
  <c r="G711" i="1"/>
  <c r="F36" i="2" s="1"/>
  <c r="G689" i="1"/>
  <c r="G688" i="1" s="1"/>
  <c r="G687" i="1" s="1"/>
  <c r="G751" i="1"/>
  <c r="G747" i="1"/>
  <c r="G675" i="1"/>
  <c r="F108" i="2" s="1"/>
  <c r="F107" i="2" s="1"/>
  <c r="G638" i="1"/>
  <c r="F38" i="2" s="1"/>
  <c r="G381" i="1"/>
  <c r="G380" i="1" s="1"/>
  <c r="G302" i="1"/>
  <c r="G359" i="1"/>
  <c r="F199" i="2" s="1"/>
  <c r="F198" i="2" s="1"/>
  <c r="C183" i="2"/>
  <c r="G773" i="1"/>
  <c r="F221" i="2" s="1"/>
  <c r="G338" i="1"/>
  <c r="C240" i="2"/>
  <c r="H211" i="1"/>
  <c r="H210" i="1" s="1"/>
  <c r="I211" i="1"/>
  <c r="G211" i="1"/>
  <c r="G210" i="1" s="1"/>
  <c r="G188" i="2"/>
  <c r="I188" i="2" s="1"/>
  <c r="C188" i="2"/>
  <c r="H291" i="1"/>
  <c r="H290" i="1" s="1"/>
  <c r="I291" i="1"/>
  <c r="C262" i="2"/>
  <c r="C252" i="2"/>
  <c r="H248" i="1"/>
  <c r="H247" i="1" s="1"/>
  <c r="I248" i="1"/>
  <c r="G248" i="1"/>
  <c r="G247" i="1" s="1"/>
  <c r="G547" i="1"/>
  <c r="G469" i="1"/>
  <c r="F256" i="2" s="1"/>
  <c r="G699" i="1"/>
  <c r="F35" i="2" s="1"/>
  <c r="G130" i="2"/>
  <c r="H130" i="2"/>
  <c r="F130" i="2"/>
  <c r="C130" i="2"/>
  <c r="H140" i="1"/>
  <c r="H139" i="1" s="1"/>
  <c r="H138" i="1" s="1"/>
  <c r="H137" i="1" s="1"/>
  <c r="I140" i="1"/>
  <c r="G140" i="1"/>
  <c r="G139" i="1" s="1"/>
  <c r="G138" i="1" s="1"/>
  <c r="G137" i="1" s="1"/>
  <c r="C152" i="2"/>
  <c r="F287" i="2"/>
  <c r="F286" i="2"/>
  <c r="C285" i="2"/>
  <c r="H757" i="1"/>
  <c r="H756" i="1" s="1"/>
  <c r="H755" i="1" s="1"/>
  <c r="H754" i="1" s="1"/>
  <c r="H753" i="1" s="1"/>
  <c r="H752" i="1" s="1"/>
  <c r="I757" i="1"/>
  <c r="G760" i="1"/>
  <c r="G762" i="1"/>
  <c r="H106" i="1"/>
  <c r="H165" i="1"/>
  <c r="H164" i="1" s="1"/>
  <c r="I165" i="1"/>
  <c r="G165" i="1"/>
  <c r="G164" i="1" s="1"/>
  <c r="C70" i="2"/>
  <c r="G173" i="2"/>
  <c r="I173" i="2" s="1"/>
  <c r="G181" i="2"/>
  <c r="I181" i="2" s="1"/>
  <c r="C235" i="2"/>
  <c r="C280" i="2"/>
  <c r="C136" i="2"/>
  <c r="C135" i="2"/>
  <c r="C134" i="2"/>
  <c r="G182" i="2"/>
  <c r="I182" i="2" s="1"/>
  <c r="F182" i="2"/>
  <c r="C181" i="2"/>
  <c r="C122" i="2"/>
  <c r="G331" i="1"/>
  <c r="G330" i="1" s="1"/>
  <c r="H328" i="1"/>
  <c r="H327" i="1" s="1"/>
  <c r="H326" i="1" s="1"/>
  <c r="H325" i="1" s="1"/>
  <c r="H324" i="1" s="1"/>
  <c r="I328" i="1"/>
  <c r="P328" i="1" s="1"/>
  <c r="G328" i="1"/>
  <c r="G383" i="1"/>
  <c r="F142" i="2" s="1"/>
  <c r="G96" i="2"/>
  <c r="I96" i="2" s="1"/>
  <c r="H281" i="1"/>
  <c r="H280" i="1" s="1"/>
  <c r="I281" i="1"/>
  <c r="G281" i="1"/>
  <c r="G280" i="1" s="1"/>
  <c r="H184" i="1"/>
  <c r="H183" i="1" s="1"/>
  <c r="I184" i="1"/>
  <c r="H148" i="1"/>
  <c r="H147" i="1" s="1"/>
  <c r="I148" i="1"/>
  <c r="G148" i="1"/>
  <c r="G147" i="1" s="1"/>
  <c r="H102" i="1"/>
  <c r="H101" i="1" s="1"/>
  <c r="I102" i="1"/>
  <c r="G102" i="1"/>
  <c r="G101" i="1" s="1"/>
  <c r="H99" i="1"/>
  <c r="H98" i="1" s="1"/>
  <c r="I99" i="1"/>
  <c r="G99" i="1"/>
  <c r="G98" i="1" s="1"/>
  <c r="H96" i="1"/>
  <c r="H95" i="1" s="1"/>
  <c r="I96" i="1"/>
  <c r="G96" i="1"/>
  <c r="G95" i="1" s="1"/>
  <c r="G91" i="1"/>
  <c r="F197" i="2" s="1"/>
  <c r="G88" i="1"/>
  <c r="F196" i="2" s="1"/>
  <c r="H76" i="1"/>
  <c r="H75" i="1" s="1"/>
  <c r="H74" i="1" s="1"/>
  <c r="I76" i="1"/>
  <c r="G76" i="1"/>
  <c r="G75" i="1" s="1"/>
  <c r="G74" i="1" s="1"/>
  <c r="H32" i="1"/>
  <c r="H31" i="1" s="1"/>
  <c r="I32" i="1"/>
  <c r="G32" i="1"/>
  <c r="G31" i="1" s="1"/>
  <c r="C224" i="2"/>
  <c r="C49" i="2"/>
  <c r="C42" i="2"/>
  <c r="C34" i="2"/>
  <c r="F20" i="2"/>
  <c r="C20" i="2"/>
  <c r="C104" i="2"/>
  <c r="C41" i="2"/>
  <c r="C40" i="2"/>
  <c r="G257" i="2"/>
  <c r="I257" i="2" s="1"/>
  <c r="F257" i="2"/>
  <c r="G470" i="1"/>
  <c r="H736" i="1"/>
  <c r="H735" i="1" s="1"/>
  <c r="I736" i="1"/>
  <c r="G736" i="1"/>
  <c r="G735" i="1" s="1"/>
  <c r="G721" i="1"/>
  <c r="H714" i="1"/>
  <c r="H713" i="1" s="1"/>
  <c r="I714" i="1"/>
  <c r="G714" i="1"/>
  <c r="G713" i="1" s="1"/>
  <c r="H707" i="1"/>
  <c r="H706" i="1" s="1"/>
  <c r="I707" i="1"/>
  <c r="H691" i="1"/>
  <c r="H690" i="1" s="1"/>
  <c r="I691" i="1"/>
  <c r="G691" i="1"/>
  <c r="G690" i="1" s="1"/>
  <c r="H664" i="1"/>
  <c r="H663" i="1" s="1"/>
  <c r="I664" i="1"/>
  <c r="G664" i="1"/>
  <c r="G663" i="1" s="1"/>
  <c r="H646" i="1"/>
  <c r="H645" i="1" s="1"/>
  <c r="I646" i="1"/>
  <c r="H643" i="1"/>
  <c r="H642" i="1" s="1"/>
  <c r="I643" i="1"/>
  <c r="G643" i="1"/>
  <c r="G642" i="1" s="1"/>
  <c r="H780" i="1"/>
  <c r="H779" i="1" s="1"/>
  <c r="I780" i="1"/>
  <c r="G780" i="1"/>
  <c r="G779" i="1" s="1"/>
  <c r="C217" i="2"/>
  <c r="H807" i="1"/>
  <c r="H806" i="1" s="1"/>
  <c r="I807" i="1"/>
  <c r="G808" i="1"/>
  <c r="H792" i="1"/>
  <c r="I792" i="1"/>
  <c r="G792" i="1"/>
  <c r="C94" i="2"/>
  <c r="C85" i="2"/>
  <c r="C84" i="2"/>
  <c r="C66" i="2"/>
  <c r="C78" i="2"/>
  <c r="C77" i="2"/>
  <c r="C76" i="2"/>
  <c r="H561" i="1"/>
  <c r="H560" i="1" s="1"/>
  <c r="I561" i="1"/>
  <c r="G561" i="1"/>
  <c r="G560" i="1" s="1"/>
  <c r="H583" i="1"/>
  <c r="I583" i="1"/>
  <c r="P583" i="1" s="1"/>
  <c r="H580" i="1"/>
  <c r="H579" i="1" s="1"/>
  <c r="G84" i="2" s="1"/>
  <c r="I580" i="1"/>
  <c r="G580" i="1"/>
  <c r="G579" i="1" s="1"/>
  <c r="F84" i="2" s="1"/>
  <c r="H567" i="1"/>
  <c r="H566" i="1" s="1"/>
  <c r="I567" i="1"/>
  <c r="G567" i="1"/>
  <c r="G566" i="1" s="1"/>
  <c r="H564" i="1"/>
  <c r="H563" i="1" s="1"/>
  <c r="I564" i="1"/>
  <c r="G68" i="2"/>
  <c r="I68" i="2" s="1"/>
  <c r="H537" i="1"/>
  <c r="H536" i="1" s="1"/>
  <c r="G66" i="2" s="1"/>
  <c r="I537" i="1"/>
  <c r="G537" i="1"/>
  <c r="G536" i="1" s="1"/>
  <c r="F66" i="2" s="1"/>
  <c r="H513" i="1"/>
  <c r="H512" i="1" s="1"/>
  <c r="C162" i="2"/>
  <c r="C271" i="2"/>
  <c r="C264" i="2"/>
  <c r="C26" i="2"/>
  <c r="C283" i="2"/>
  <c r="H119" i="1"/>
  <c r="H118" i="1" s="1"/>
  <c r="H117" i="1" s="1"/>
  <c r="H116" i="1" s="1"/>
  <c r="H115" i="1" s="1"/>
  <c r="I119" i="1"/>
  <c r="G119" i="1"/>
  <c r="G118" i="1" s="1"/>
  <c r="G117" i="1" s="1"/>
  <c r="G116" i="1" s="1"/>
  <c r="G115" i="1" s="1"/>
  <c r="G186" i="2"/>
  <c r="I186" i="2" s="1"/>
  <c r="G296" i="1"/>
  <c r="G295" i="1" s="1"/>
  <c r="G294" i="1" s="1"/>
  <c r="G293" i="1" s="1"/>
  <c r="G71" i="2"/>
  <c r="I71" i="2" s="1"/>
  <c r="G106" i="2"/>
  <c r="G671" i="1"/>
  <c r="F106" i="2" s="1"/>
  <c r="G149" i="2"/>
  <c r="G148" i="2" s="1"/>
  <c r="F149" i="2"/>
  <c r="F148" i="2" s="1"/>
  <c r="C149" i="2"/>
  <c r="H112" i="1"/>
  <c r="H111" i="1" s="1"/>
  <c r="H110" i="1" s="1"/>
  <c r="I112" i="1"/>
  <c r="G112" i="1"/>
  <c r="G111" i="1" s="1"/>
  <c r="G110" i="1" s="1"/>
  <c r="C75" i="2"/>
  <c r="H558" i="1"/>
  <c r="H557" i="1" s="1"/>
  <c r="I558" i="1"/>
  <c r="G87" i="2"/>
  <c r="I87" i="2" s="1"/>
  <c r="F87" i="2"/>
  <c r="C87" i="2"/>
  <c r="G62" i="2"/>
  <c r="I62" i="2" s="1"/>
  <c r="F62" i="2"/>
  <c r="C62" i="2"/>
  <c r="H589" i="1"/>
  <c r="H588" i="1" s="1"/>
  <c r="I589" i="1"/>
  <c r="G589" i="1"/>
  <c r="G588" i="1" s="1"/>
  <c r="G525" i="1"/>
  <c r="G524" i="1" s="1"/>
  <c r="C232" i="2"/>
  <c r="H199" i="1"/>
  <c r="H198" i="1" s="1"/>
  <c r="H197" i="1" s="1"/>
  <c r="H196" i="1" s="1"/>
  <c r="H195" i="1" s="1"/>
  <c r="E18" i="3" s="1"/>
  <c r="I199" i="1"/>
  <c r="G142" i="2"/>
  <c r="H142" i="2"/>
  <c r="G141" i="2"/>
  <c r="H141" i="2"/>
  <c r="C141" i="2"/>
  <c r="G139" i="2"/>
  <c r="H139" i="2"/>
  <c r="F139" i="2"/>
  <c r="H382" i="1"/>
  <c r="I382" i="1"/>
  <c r="H380" i="1"/>
  <c r="I380" i="1"/>
  <c r="H377" i="1"/>
  <c r="H376" i="1" s="1"/>
  <c r="I377" i="1"/>
  <c r="G377" i="1"/>
  <c r="G376" i="1" s="1"/>
  <c r="G138" i="2"/>
  <c r="H138" i="2"/>
  <c r="I138" i="2" s="1"/>
  <c r="F138" i="2"/>
  <c r="C138" i="2"/>
  <c r="H352" i="1"/>
  <c r="H351" i="1" s="1"/>
  <c r="I352" i="1"/>
  <c r="C250" i="2"/>
  <c r="C282" i="2"/>
  <c r="H40" i="1"/>
  <c r="H39" i="1" s="1"/>
  <c r="H38" i="1" s="1"/>
  <c r="H37" i="1" s="1"/>
  <c r="I40" i="1"/>
  <c r="G40" i="1"/>
  <c r="G39" i="1" s="1"/>
  <c r="G38" i="1" s="1"/>
  <c r="G37" i="1" s="1"/>
  <c r="H231" i="1"/>
  <c r="H230" i="1" s="1"/>
  <c r="I231" i="1"/>
  <c r="C248" i="2"/>
  <c r="G372" i="1"/>
  <c r="C193" i="2"/>
  <c r="C186" i="2"/>
  <c r="H288" i="1"/>
  <c r="H287" i="1" s="1"/>
  <c r="I288" i="1"/>
  <c r="C237" i="2"/>
  <c r="H187" i="1"/>
  <c r="H186" i="1" s="1"/>
  <c r="I187" i="1"/>
  <c r="C123" i="2"/>
  <c r="H35" i="1"/>
  <c r="H34" i="1" s="1"/>
  <c r="I35" i="1"/>
  <c r="C169" i="2"/>
  <c r="C173" i="2"/>
  <c r="G172" i="2"/>
  <c r="I172" i="2" s="1"/>
  <c r="F172" i="2"/>
  <c r="C171" i="2"/>
  <c r="C231" i="2"/>
  <c r="C281" i="2"/>
  <c r="H151" i="1"/>
  <c r="H150" i="1" s="1"/>
  <c r="I151" i="1"/>
  <c r="G151" i="1"/>
  <c r="G150" i="1" s="1"/>
  <c r="C165" i="2"/>
  <c r="H63" i="1"/>
  <c r="H62" i="1" s="1"/>
  <c r="H61" i="1" s="1"/>
  <c r="H60" i="1" s="1"/>
  <c r="H59" i="1" s="1"/>
  <c r="H58" i="1" s="1"/>
  <c r="E25" i="3" s="1"/>
  <c r="I63" i="1"/>
  <c r="I346" i="1"/>
  <c r="H346" i="1"/>
  <c r="G97" i="2" s="1"/>
  <c r="G346" i="1"/>
  <c r="F97" i="2" s="1"/>
  <c r="G171" i="2"/>
  <c r="I171" i="2" s="1"/>
  <c r="H178" i="1"/>
  <c r="H177" i="1" s="1"/>
  <c r="I178" i="1"/>
  <c r="G178" i="1"/>
  <c r="G177" i="1" s="1"/>
  <c r="G197" i="2"/>
  <c r="H197" i="2"/>
  <c r="C197" i="2"/>
  <c r="G196" i="2"/>
  <c r="H196" i="2"/>
  <c r="I196" i="2" s="1"/>
  <c r="C196" i="2"/>
  <c r="C120" i="2"/>
  <c r="H90" i="1"/>
  <c r="H89" i="1" s="1"/>
  <c r="I90" i="1"/>
  <c r="H87" i="1"/>
  <c r="H86" i="1" s="1"/>
  <c r="I87" i="1"/>
  <c r="H26" i="1"/>
  <c r="H25" i="1" s="1"/>
  <c r="I26" i="1"/>
  <c r="C71" i="2"/>
  <c r="H546" i="1"/>
  <c r="H545" i="1" s="1"/>
  <c r="I546" i="1"/>
  <c r="I574" i="1"/>
  <c r="H574" i="1"/>
  <c r="G73" i="2" s="1"/>
  <c r="G574" i="1"/>
  <c r="F73" i="2" s="1"/>
  <c r="C52" i="2"/>
  <c r="C50" i="2"/>
  <c r="C47" i="2"/>
  <c r="C36" i="2"/>
  <c r="C35" i="2"/>
  <c r="C105" i="2"/>
  <c r="H739" i="1"/>
  <c r="H738" i="1" s="1"/>
  <c r="I739" i="1"/>
  <c r="G739" i="1"/>
  <c r="G738" i="1" s="1"/>
  <c r="H667" i="1"/>
  <c r="H666" i="1" s="1"/>
  <c r="I667" i="1"/>
  <c r="G667" i="1"/>
  <c r="G666" i="1" s="1"/>
  <c r="I649" i="1"/>
  <c r="G710" i="1"/>
  <c r="G709" i="1" s="1"/>
  <c r="I719" i="1"/>
  <c r="H652" i="1"/>
  <c r="H651" i="1" s="1"/>
  <c r="I652" i="1"/>
  <c r="G652" i="1"/>
  <c r="G651" i="1" s="1"/>
  <c r="C95" i="2"/>
  <c r="G86" i="2"/>
  <c r="I86" i="2" s="1"/>
  <c r="F86" i="2"/>
  <c r="C86" i="2"/>
  <c r="C65" i="2"/>
  <c r="G57" i="2"/>
  <c r="I57" i="2" s="1"/>
  <c r="C57" i="2"/>
  <c r="H586" i="1"/>
  <c r="H585" i="1" s="1"/>
  <c r="I586" i="1"/>
  <c r="G586" i="1"/>
  <c r="G585" i="1" s="1"/>
  <c r="H534" i="1"/>
  <c r="H533" i="1" s="1"/>
  <c r="I534" i="1"/>
  <c r="G534" i="1"/>
  <c r="G533" i="1" s="1"/>
  <c r="H510" i="1"/>
  <c r="H509" i="1" s="1"/>
  <c r="I510" i="1"/>
  <c r="C163" i="2"/>
  <c r="C27" i="2"/>
  <c r="C272" i="2"/>
  <c r="C214" i="2"/>
  <c r="C213" i="2"/>
  <c r="C273" i="2"/>
  <c r="H774" i="1"/>
  <c r="I774" i="1"/>
  <c r="G774" i="1"/>
  <c r="H795" i="1"/>
  <c r="H794" i="1" s="1"/>
  <c r="I795" i="1"/>
  <c r="G795" i="1"/>
  <c r="G794" i="1" s="1"/>
  <c r="H798" i="1"/>
  <c r="H797" i="1" s="1"/>
  <c r="I798" i="1"/>
  <c r="E31" i="3"/>
  <c r="F31" i="3"/>
  <c r="D31" i="3"/>
  <c r="G15" i="2"/>
  <c r="G14" i="2" s="1"/>
  <c r="G110" i="2"/>
  <c r="G109" i="2" s="1"/>
  <c r="H110" i="2"/>
  <c r="F110" i="2"/>
  <c r="F109" i="2" s="1"/>
  <c r="G108" i="2"/>
  <c r="G107" i="2" s="1"/>
  <c r="H108" i="2"/>
  <c r="H750" i="1"/>
  <c r="H749" i="1" s="1"/>
  <c r="H748" i="1" s="1"/>
  <c r="I750" i="1"/>
  <c r="H678" i="1"/>
  <c r="H677" i="1" s="1"/>
  <c r="H676" i="1" s="1"/>
  <c r="I678" i="1"/>
  <c r="G678" i="1"/>
  <c r="G677" i="1" s="1"/>
  <c r="G676" i="1" s="1"/>
  <c r="H674" i="1"/>
  <c r="I674" i="1"/>
  <c r="H616" i="1"/>
  <c r="I616" i="1"/>
  <c r="G616" i="1"/>
  <c r="H555" i="1"/>
  <c r="H554" i="1" s="1"/>
  <c r="I555" i="1"/>
  <c r="G555" i="1"/>
  <c r="G554" i="1" s="1"/>
  <c r="G256" i="2"/>
  <c r="G255" i="2" s="1"/>
  <c r="G193" i="2"/>
  <c r="G192" i="2" s="1"/>
  <c r="F193" i="2"/>
  <c r="F192" i="2" s="1"/>
  <c r="G191" i="2"/>
  <c r="I191" i="2" s="1"/>
  <c r="F191" i="2"/>
  <c r="G190" i="2"/>
  <c r="I190" i="2" s="1"/>
  <c r="G178" i="2"/>
  <c r="I178" i="2" s="1"/>
  <c r="F178" i="2"/>
  <c r="C178" i="2"/>
  <c r="G144" i="2"/>
  <c r="G143" i="2" s="1"/>
  <c r="H144" i="2"/>
  <c r="F144" i="2"/>
  <c r="F143" i="2" s="1"/>
  <c r="G129" i="2"/>
  <c r="H129" i="2"/>
  <c r="G126" i="2"/>
  <c r="H126" i="2"/>
  <c r="F126" i="2"/>
  <c r="H717" i="1"/>
  <c r="H716" i="1" s="1"/>
  <c r="I717" i="1"/>
  <c r="G717" i="1"/>
  <c r="G716" i="1" s="1"/>
  <c r="H49" i="1"/>
  <c r="H48" i="1" s="1"/>
  <c r="I49" i="1"/>
  <c r="G49" i="1"/>
  <c r="G48" i="1" s="1"/>
  <c r="H301" i="1"/>
  <c r="H300" i="1" s="1"/>
  <c r="H299" i="1" s="1"/>
  <c r="H298" i="1" s="1"/>
  <c r="H297" i="1" s="1"/>
  <c r="I301" i="1"/>
  <c r="G301" i="1"/>
  <c r="G300" i="1" s="1"/>
  <c r="G299" i="1" s="1"/>
  <c r="G298" i="1" s="1"/>
  <c r="G297" i="1" s="1"/>
  <c r="H295" i="1"/>
  <c r="H294" i="1" s="1"/>
  <c r="H293" i="1" s="1"/>
  <c r="I295" i="1"/>
  <c r="H269" i="1"/>
  <c r="H268" i="1" s="1"/>
  <c r="I268" i="1"/>
  <c r="G269" i="1"/>
  <c r="G268" i="1" s="1"/>
  <c r="H80" i="1"/>
  <c r="H79" i="1" s="1"/>
  <c r="H78" i="1" s="1"/>
  <c r="I80" i="1"/>
  <c r="G80" i="1"/>
  <c r="G79" i="1" s="1"/>
  <c r="G78" i="1" s="1"/>
  <c r="G13" i="2"/>
  <c r="G12" i="2" s="1"/>
  <c r="F13" i="2"/>
  <c r="F12" i="2" s="1"/>
  <c r="C13" i="2"/>
  <c r="H746" i="1"/>
  <c r="H745" i="1" s="1"/>
  <c r="H744" i="1" s="1"/>
  <c r="H743" i="1" s="1"/>
  <c r="H742" i="1" s="1"/>
  <c r="I746" i="1"/>
  <c r="G746" i="1"/>
  <c r="G745" i="1" s="1"/>
  <c r="G744" i="1" s="1"/>
  <c r="H698" i="1"/>
  <c r="H697" i="1" s="1"/>
  <c r="I698" i="1"/>
  <c r="G201" i="2"/>
  <c r="G200" i="2" s="1"/>
  <c r="H201" i="2"/>
  <c r="F201" i="2"/>
  <c r="F200" i="2" s="1"/>
  <c r="H311" i="1"/>
  <c r="H310" i="1" s="1"/>
  <c r="H309" i="1" s="1"/>
  <c r="I311" i="1"/>
  <c r="G311" i="1"/>
  <c r="G310" i="1" s="1"/>
  <c r="G309" i="1" s="1"/>
  <c r="I228" i="1"/>
  <c r="H228" i="1"/>
  <c r="H227" i="1" s="1"/>
  <c r="E16" i="3"/>
  <c r="F16" i="3"/>
  <c r="D16" i="3"/>
  <c r="G204" i="2"/>
  <c r="G203" i="2" s="1"/>
  <c r="H204" i="2"/>
  <c r="F204" i="2"/>
  <c r="F203" i="2" s="1"/>
  <c r="C204" i="2"/>
  <c r="F31" i="2"/>
  <c r="F18" i="2"/>
  <c r="H193" i="1"/>
  <c r="H192" i="1" s="1"/>
  <c r="I193" i="1"/>
  <c r="G193" i="1"/>
  <c r="G192" i="1" s="1"/>
  <c r="G190" i="1" s="1"/>
  <c r="G189" i="1" s="1"/>
  <c r="H364" i="1"/>
  <c r="H363" i="1" s="1"/>
  <c r="H362" i="1" s="1"/>
  <c r="H361" i="1" s="1"/>
  <c r="H360" i="1" s="1"/>
  <c r="I364" i="1"/>
  <c r="G364" i="1"/>
  <c r="G363" i="1" s="1"/>
  <c r="G362" i="1" s="1"/>
  <c r="G361" i="1" s="1"/>
  <c r="G360" i="1" s="1"/>
  <c r="H468" i="1"/>
  <c r="I468" i="1"/>
  <c r="H23" i="1"/>
  <c r="I23" i="1"/>
  <c r="P23" i="1" s="1"/>
  <c r="G23" i="1"/>
  <c r="H113" i="2"/>
  <c r="I113" i="2" s="1"/>
  <c r="G113" i="2"/>
  <c r="G83" i="2"/>
  <c r="I83" i="2" s="1"/>
  <c r="C67" i="2"/>
  <c r="G61" i="2"/>
  <c r="I61" i="2" s="1"/>
  <c r="F61" i="2"/>
  <c r="G59" i="2"/>
  <c r="I59" i="2" s="1"/>
  <c r="G56" i="2"/>
  <c r="I56" i="2" s="1"/>
  <c r="F56" i="2"/>
  <c r="H540" i="1"/>
  <c r="H539" i="1" s="1"/>
  <c r="I540" i="1"/>
  <c r="G540" i="1"/>
  <c r="G539" i="1" s="1"/>
  <c r="I513" i="1"/>
  <c r="G513" i="1"/>
  <c r="G512" i="1" s="1"/>
  <c r="F58" i="2" s="1"/>
  <c r="G207" i="2"/>
  <c r="I207" i="2" s="1"/>
  <c r="F207" i="2"/>
  <c r="G206" i="2"/>
  <c r="I206" i="2" s="1"/>
  <c r="F206" i="2"/>
  <c r="G199" i="2"/>
  <c r="G198" i="2" s="1"/>
  <c r="H199" i="2"/>
  <c r="F33" i="2"/>
  <c r="F32" i="2"/>
  <c r="C22" i="2"/>
  <c r="H730" i="1"/>
  <c r="I730" i="1"/>
  <c r="G730" i="1"/>
  <c r="H728" i="1"/>
  <c r="I728" i="1"/>
  <c r="P728" i="1" s="1"/>
  <c r="H258" i="1"/>
  <c r="G258" i="1"/>
  <c r="H171" i="1"/>
  <c r="I171" i="1"/>
  <c r="P171" i="1" s="1"/>
  <c r="G171" i="1"/>
  <c r="G507" i="1"/>
  <c r="G506" i="1" s="1"/>
  <c r="H507" i="1"/>
  <c r="H506" i="1" s="1"/>
  <c r="I507" i="1"/>
  <c r="G114" i="2"/>
  <c r="H114" i="2"/>
  <c r="F114" i="2"/>
  <c r="F113" i="2"/>
  <c r="G177" i="2"/>
  <c r="I177" i="2" s="1"/>
  <c r="G169" i="2"/>
  <c r="G168" i="2" s="1"/>
  <c r="G154" i="2"/>
  <c r="I154" i="2" s="1"/>
  <c r="G155" i="2"/>
  <c r="I155" i="2" s="1"/>
  <c r="G115" i="2"/>
  <c r="H115" i="2"/>
  <c r="C98" i="2"/>
  <c r="C96" i="2"/>
  <c r="C89" i="2"/>
  <c r="C83" i="2"/>
  <c r="C79" i="2"/>
  <c r="C72" i="2"/>
  <c r="C68" i="2"/>
  <c r="C64" i="2"/>
  <c r="C61" i="2"/>
  <c r="C59" i="2"/>
  <c r="C58" i="2"/>
  <c r="C56" i="2"/>
  <c r="H618" i="1"/>
  <c r="I618" i="1"/>
  <c r="P618" i="1" s="1"/>
  <c r="H629" i="1"/>
  <c r="I629" i="1"/>
  <c r="G629" i="1"/>
  <c r="H627" i="1"/>
  <c r="I627" i="1"/>
  <c r="G627" i="1"/>
  <c r="H577" i="1"/>
  <c r="H576" i="1" s="1"/>
  <c r="I577" i="1"/>
  <c r="H549" i="1"/>
  <c r="H548" i="1" s="1"/>
  <c r="I549" i="1"/>
  <c r="H543" i="1"/>
  <c r="H542" i="1" s="1"/>
  <c r="I543" i="1"/>
  <c r="H531" i="1"/>
  <c r="H530" i="1" s="1"/>
  <c r="H529" i="1" s="1"/>
  <c r="I531" i="1"/>
  <c r="H519" i="1"/>
  <c r="H518" i="1" s="1"/>
  <c r="I519" i="1"/>
  <c r="G519" i="1"/>
  <c r="G518" i="1" s="1"/>
  <c r="H516" i="1"/>
  <c r="H515" i="1" s="1"/>
  <c r="I516" i="1"/>
  <c r="H175" i="1"/>
  <c r="I175" i="1"/>
  <c r="P175" i="1" s="1"/>
  <c r="G58" i="2"/>
  <c r="E19" i="3"/>
  <c r="F19" i="3"/>
  <c r="D19" i="3"/>
  <c r="C199" i="2"/>
  <c r="H358" i="1"/>
  <c r="H357" i="1" s="1"/>
  <c r="H356" i="1" s="1"/>
  <c r="H355" i="1" s="1"/>
  <c r="H354" i="1" s="1"/>
  <c r="I358" i="1"/>
  <c r="H159" i="1"/>
  <c r="H158" i="1" s="1"/>
  <c r="I159" i="1"/>
  <c r="G159" i="1"/>
  <c r="G158" i="1" s="1"/>
  <c r="H790" i="1"/>
  <c r="I790" i="1"/>
  <c r="P790" i="1" s="1"/>
  <c r="H788" i="1"/>
  <c r="I788" i="1"/>
  <c r="P788" i="1" s="1"/>
  <c r="H801" i="1"/>
  <c r="H800" i="1" s="1"/>
  <c r="I801" i="1"/>
  <c r="C206" i="2"/>
  <c r="C184" i="2"/>
  <c r="F177" i="2"/>
  <c r="C177" i="2"/>
  <c r="F169" i="2"/>
  <c r="F168" i="2" s="1"/>
  <c r="C158" i="2"/>
  <c r="C155" i="2"/>
  <c r="F154" i="2"/>
  <c r="C154" i="2"/>
  <c r="C117" i="2"/>
  <c r="F115" i="2"/>
  <c r="C115" i="2"/>
  <c r="C114" i="2"/>
  <c r="C113" i="2"/>
  <c r="C38" i="2"/>
  <c r="C43" i="2"/>
  <c r="C33" i="2"/>
  <c r="C32" i="2"/>
  <c r="C31" i="2"/>
  <c r="C28" i="2"/>
  <c r="C19" i="2"/>
  <c r="C18" i="2"/>
  <c r="C17" i="2"/>
  <c r="C16" i="2"/>
  <c r="H670" i="1"/>
  <c r="H669" i="1" s="1"/>
  <c r="H772" i="1"/>
  <c r="I772" i="1"/>
  <c r="P772" i="1" s="1"/>
  <c r="G772" i="1"/>
  <c r="H770" i="1"/>
  <c r="I770" i="1"/>
  <c r="P770" i="1" s="1"/>
  <c r="G770" i="1"/>
  <c r="H726" i="1"/>
  <c r="I726" i="1"/>
  <c r="H704" i="1"/>
  <c r="H703" i="1" s="1"/>
  <c r="I704" i="1"/>
  <c r="G704" i="1"/>
  <c r="G703" i="1" s="1"/>
  <c r="H701" i="1"/>
  <c r="H700" i="1" s="1"/>
  <c r="I701" i="1"/>
  <c r="G701" i="1"/>
  <c r="G700" i="1" s="1"/>
  <c r="I658" i="1"/>
  <c r="H688" i="1"/>
  <c r="H687" i="1" s="1"/>
  <c r="I688" i="1"/>
  <c r="H695" i="1"/>
  <c r="H694" i="1" s="1"/>
  <c r="I695" i="1"/>
  <c r="G695" i="1"/>
  <c r="G694" i="1" s="1"/>
  <c r="H685" i="1"/>
  <c r="H684" i="1" s="1"/>
  <c r="I685" i="1"/>
  <c r="G685" i="1"/>
  <c r="G684" i="1" s="1"/>
  <c r="H637" i="1"/>
  <c r="H636" i="1" s="1"/>
  <c r="I637" i="1"/>
  <c r="H343" i="1"/>
  <c r="I343" i="1"/>
  <c r="P343" i="1" s="1"/>
  <c r="G345" i="1"/>
  <c r="H307" i="1"/>
  <c r="H306" i="1" s="1"/>
  <c r="H305" i="1" s="1"/>
  <c r="H304" i="1" s="1"/>
  <c r="I307" i="1"/>
  <c r="G307" i="1"/>
  <c r="G306" i="1" s="1"/>
  <c r="G305" i="1" s="1"/>
  <c r="G304" i="1" s="1"/>
  <c r="H278" i="1"/>
  <c r="H277" i="1" s="1"/>
  <c r="I278" i="1"/>
  <c r="G278" i="1"/>
  <c r="G277" i="1" s="1"/>
  <c r="H266" i="1"/>
  <c r="H265" i="1" s="1"/>
  <c r="I266" i="1"/>
  <c r="H260" i="1"/>
  <c r="H257" i="1" s="1"/>
  <c r="H256" i="1" s="1"/>
  <c r="H255" i="1" s="1"/>
  <c r="H254" i="1" s="1"/>
  <c r="I260" i="1"/>
  <c r="P260" i="1" s="1"/>
  <c r="G260" i="1"/>
  <c r="H239" i="1"/>
  <c r="I239" i="1"/>
  <c r="G239" i="1"/>
  <c r="H241" i="1"/>
  <c r="P241" i="1" s="1"/>
  <c r="G241" i="1"/>
  <c r="H499" i="1"/>
  <c r="H498" i="1" s="1"/>
  <c r="I499" i="1"/>
  <c r="H496" i="1"/>
  <c r="H495" i="1" s="1"/>
  <c r="I496" i="1"/>
  <c r="G496" i="1"/>
  <c r="G495" i="1" s="1"/>
  <c r="H216" i="1"/>
  <c r="H213" i="1" s="1"/>
  <c r="I216" i="1"/>
  <c r="G216" i="1"/>
  <c r="G214" i="1"/>
  <c r="H205" i="1"/>
  <c r="H204" i="1" s="1"/>
  <c r="I205" i="1"/>
  <c r="G205" i="1"/>
  <c r="G204" i="1" s="1"/>
  <c r="H219" i="1"/>
  <c r="I219" i="1"/>
  <c r="P219" i="1" s="1"/>
  <c r="H221" i="1"/>
  <c r="I221" i="1"/>
  <c r="G221" i="1"/>
  <c r="H173" i="1"/>
  <c r="I173" i="1"/>
  <c r="P173" i="1" s="1"/>
  <c r="G173" i="1"/>
  <c r="H135" i="1"/>
  <c r="H134" i="1" s="1"/>
  <c r="H133" i="1" s="1"/>
  <c r="H132" i="1" s="1"/>
  <c r="I135" i="1"/>
  <c r="G135" i="1"/>
  <c r="G134" i="1" s="1"/>
  <c r="G133" i="1" s="1"/>
  <c r="G132" i="1" s="1"/>
  <c r="H129" i="1"/>
  <c r="H128" i="1" s="1"/>
  <c r="I129" i="1"/>
  <c r="G129" i="1"/>
  <c r="G128" i="1" s="1"/>
  <c r="H126" i="1"/>
  <c r="H125" i="1" s="1"/>
  <c r="I126" i="1"/>
  <c r="G126" i="1"/>
  <c r="G125" i="1" s="1"/>
  <c r="H70" i="1"/>
  <c r="H69" i="1" s="1"/>
  <c r="H68" i="1" s="1"/>
  <c r="H67" i="1" s="1"/>
  <c r="H66" i="1" s="1"/>
  <c r="I70" i="1"/>
  <c r="G70" i="1"/>
  <c r="G69" i="1" s="1"/>
  <c r="G68" i="1" s="1"/>
  <c r="G67" i="1" s="1"/>
  <c r="G66" i="1" s="1"/>
  <c r="H56" i="1"/>
  <c r="H55" i="1" s="1"/>
  <c r="I56" i="1"/>
  <c r="H21" i="1"/>
  <c r="I21" i="1"/>
  <c r="G21" i="1"/>
  <c r="H19" i="1"/>
  <c r="I19" i="1"/>
  <c r="P19" i="1" s="1"/>
  <c r="G19" i="1"/>
  <c r="H46" i="1"/>
  <c r="H45" i="1" s="1"/>
  <c r="H43" i="1" s="1"/>
  <c r="H42" i="1" s="1"/>
  <c r="I46" i="1"/>
  <c r="I213" i="1" l="1"/>
  <c r="P213" i="1" s="1"/>
  <c r="P216" i="1"/>
  <c r="I45" i="1"/>
  <c r="P45" i="1" s="1"/>
  <c r="P46" i="1"/>
  <c r="I55" i="1"/>
  <c r="P56" i="1"/>
  <c r="I134" i="1"/>
  <c r="P135" i="1"/>
  <c r="I703" i="1"/>
  <c r="P703" i="1" s="1"/>
  <c r="P704" i="1"/>
  <c r="I700" i="1"/>
  <c r="P700" i="1" s="1"/>
  <c r="P701" i="1"/>
  <c r="I192" i="1"/>
  <c r="P192" i="1" s="1"/>
  <c r="P193" i="1"/>
  <c r="I79" i="1"/>
  <c r="P80" i="1"/>
  <c r="I300" i="1"/>
  <c r="P301" i="1"/>
  <c r="P21" i="1"/>
  <c r="I125" i="1"/>
  <c r="P125" i="1" s="1"/>
  <c r="P126" i="1"/>
  <c r="P221" i="1"/>
  <c r="I495" i="1"/>
  <c r="P495" i="1" s="1"/>
  <c r="P496" i="1"/>
  <c r="I265" i="1"/>
  <c r="P265" i="1" s="1"/>
  <c r="P266" i="1"/>
  <c r="P726" i="1"/>
  <c r="I158" i="1"/>
  <c r="P158" i="1" s="1"/>
  <c r="P159" i="1"/>
  <c r="I530" i="1"/>
  <c r="P531" i="1"/>
  <c r="I548" i="1"/>
  <c r="P548" i="1" s="1"/>
  <c r="P549" i="1"/>
  <c r="P629" i="1"/>
  <c r="I115" i="2"/>
  <c r="I114" i="2"/>
  <c r="I363" i="1"/>
  <c r="P364" i="1"/>
  <c r="G16" i="3"/>
  <c r="I294" i="1"/>
  <c r="P295" i="1"/>
  <c r="I126" i="2"/>
  <c r="P616" i="1"/>
  <c r="P774" i="1"/>
  <c r="I509" i="1"/>
  <c r="P509" i="1" s="1"/>
  <c r="P510" i="1"/>
  <c r="I651" i="1"/>
  <c r="P651" i="1" s="1"/>
  <c r="P652" i="1"/>
  <c r="I648" i="1"/>
  <c r="I545" i="1"/>
  <c r="P545" i="1" s="1"/>
  <c r="P546" i="1"/>
  <c r="I34" i="1"/>
  <c r="P34" i="1" s="1"/>
  <c r="P35" i="1"/>
  <c r="I230" i="1"/>
  <c r="P230" i="1" s="1"/>
  <c r="P231" i="1"/>
  <c r="P380" i="1"/>
  <c r="F141" i="2"/>
  <c r="I566" i="1"/>
  <c r="P566" i="1" s="1"/>
  <c r="P567" i="1"/>
  <c r="I560" i="1"/>
  <c r="P560" i="1" s="1"/>
  <c r="P561" i="1"/>
  <c r="I642" i="1"/>
  <c r="P642" i="1" s="1"/>
  <c r="P643" i="1"/>
  <c r="I690" i="1"/>
  <c r="P690" i="1" s="1"/>
  <c r="P691" i="1"/>
  <c r="I31" i="1"/>
  <c r="P31" i="1" s="1"/>
  <c r="P32" i="1"/>
  <c r="I95" i="1"/>
  <c r="P95" i="1" s="1"/>
  <c r="P96" i="1"/>
  <c r="I164" i="1"/>
  <c r="P164" i="1" s="1"/>
  <c r="P165" i="1"/>
  <c r="I139" i="1"/>
  <c r="P140" i="1"/>
  <c r="I130" i="2"/>
  <c r="I28" i="1"/>
  <c r="P28" i="1" s="1"/>
  <c r="P29" i="1"/>
  <c r="I161" i="1"/>
  <c r="P161" i="1" s="1"/>
  <c r="P162" i="1"/>
  <c r="I283" i="1"/>
  <c r="P283" i="1" s="1"/>
  <c r="P284" i="1"/>
  <c r="P372" i="1"/>
  <c r="I317" i="1"/>
  <c r="P317" i="1" s="1"/>
  <c r="P318" i="1"/>
  <c r="I122" i="2"/>
  <c r="I118" i="2"/>
  <c r="F276" i="2"/>
  <c r="I396" i="1"/>
  <c r="P396" i="1" s="1"/>
  <c r="P397" i="1"/>
  <c r="P392" i="1"/>
  <c r="I426" i="1"/>
  <c r="P426" i="1" s="1"/>
  <c r="P427" i="1"/>
  <c r="I454" i="1"/>
  <c r="P454" i="1" s="1"/>
  <c r="P455" i="1"/>
  <c r="P442" i="1"/>
  <c r="G273" i="2"/>
  <c r="I273" i="2" s="1"/>
  <c r="P459" i="1"/>
  <c r="I490" i="1"/>
  <c r="P490" i="1" s="1"/>
  <c r="P491" i="1"/>
  <c r="P599" i="1"/>
  <c r="P661" i="1"/>
  <c r="I222" i="2"/>
  <c r="I271" i="1"/>
  <c r="P271" i="1" s="1"/>
  <c r="P272" i="1"/>
  <c r="G102" i="2"/>
  <c r="P659" i="1"/>
  <c r="I69" i="1"/>
  <c r="P70" i="1"/>
  <c r="I694" i="1"/>
  <c r="P694" i="1" s="1"/>
  <c r="P695" i="1"/>
  <c r="I800" i="1"/>
  <c r="P800" i="1" s="1"/>
  <c r="P801" i="1"/>
  <c r="P627" i="1"/>
  <c r="P730" i="1"/>
  <c r="I512" i="1"/>
  <c r="P513" i="1"/>
  <c r="P468" i="1"/>
  <c r="I310" i="1"/>
  <c r="P311" i="1"/>
  <c r="I745" i="1"/>
  <c r="P746" i="1"/>
  <c r="I716" i="1"/>
  <c r="P717" i="1"/>
  <c r="I554" i="1"/>
  <c r="P554" i="1" s="1"/>
  <c r="P555" i="1"/>
  <c r="I677" i="1"/>
  <c r="P678" i="1"/>
  <c r="I794" i="1"/>
  <c r="P794" i="1" s="1"/>
  <c r="P795" i="1"/>
  <c r="I738" i="1"/>
  <c r="P738" i="1" s="1"/>
  <c r="P739" i="1"/>
  <c r="I86" i="1"/>
  <c r="P86" i="1" s="1"/>
  <c r="P87" i="1"/>
  <c r="I177" i="1"/>
  <c r="P177" i="1" s="1"/>
  <c r="P178" i="1"/>
  <c r="I139" i="2"/>
  <c r="I141" i="2"/>
  <c r="I198" i="1"/>
  <c r="P199" i="1"/>
  <c r="I118" i="1"/>
  <c r="P119" i="1"/>
  <c r="I563" i="1"/>
  <c r="P563" i="1" s="1"/>
  <c r="P564" i="1"/>
  <c r="I806" i="1"/>
  <c r="P806" i="1" s="1"/>
  <c r="P807" i="1"/>
  <c r="I779" i="1"/>
  <c r="P779" i="1" s="1"/>
  <c r="P780" i="1"/>
  <c r="I663" i="1"/>
  <c r="P663" i="1" s="1"/>
  <c r="P664" i="1"/>
  <c r="I713" i="1"/>
  <c r="P713" i="1" s="1"/>
  <c r="P714" i="1"/>
  <c r="I735" i="1"/>
  <c r="P735" i="1" s="1"/>
  <c r="P736" i="1"/>
  <c r="I147" i="1"/>
  <c r="P147" i="1" s="1"/>
  <c r="P148" i="1"/>
  <c r="I756" i="1"/>
  <c r="P757" i="1"/>
  <c r="P621" i="1"/>
  <c r="P370" i="1"/>
  <c r="I107" i="1"/>
  <c r="P108" i="1"/>
  <c r="I399" i="1"/>
  <c r="P399" i="1" s="1"/>
  <c r="P400" i="1"/>
  <c r="P390" i="1"/>
  <c r="P407" i="1"/>
  <c r="H164" i="2"/>
  <c r="H157" i="2" s="1"/>
  <c r="P482" i="1"/>
  <c r="I602" i="1"/>
  <c r="P602" i="1" s="1"/>
  <c r="P603" i="1"/>
  <c r="P597" i="1"/>
  <c r="I803" i="1"/>
  <c r="P803" i="1" s="1"/>
  <c r="P804" i="1"/>
  <c r="P551" i="1"/>
  <c r="H69" i="2"/>
  <c r="I69" i="2" s="1"/>
  <c r="I204" i="1"/>
  <c r="P204" i="1" s="1"/>
  <c r="P205" i="1"/>
  <c r="I498" i="1"/>
  <c r="P498" i="1" s="1"/>
  <c r="P499" i="1"/>
  <c r="I684" i="1"/>
  <c r="P684" i="1" s="1"/>
  <c r="P685" i="1"/>
  <c r="I357" i="1"/>
  <c r="P358" i="1"/>
  <c r="I518" i="1"/>
  <c r="P518" i="1" s="1"/>
  <c r="P519" i="1"/>
  <c r="I542" i="1"/>
  <c r="P542" i="1" s="1"/>
  <c r="P543" i="1"/>
  <c r="I576" i="1"/>
  <c r="P576" i="1" s="1"/>
  <c r="P577" i="1"/>
  <c r="I506" i="1"/>
  <c r="P506" i="1" s="1"/>
  <c r="P507" i="1"/>
  <c r="I697" i="1"/>
  <c r="P697" i="1" s="1"/>
  <c r="P698" i="1"/>
  <c r="P268" i="1"/>
  <c r="I48" i="1"/>
  <c r="P48" i="1" s="1"/>
  <c r="P49" i="1"/>
  <c r="I129" i="2"/>
  <c r="I673" i="1"/>
  <c r="P674" i="1"/>
  <c r="I797" i="1"/>
  <c r="P797" i="1" s="1"/>
  <c r="P798" i="1"/>
  <c r="I585" i="1"/>
  <c r="P585" i="1" s="1"/>
  <c r="P586" i="1"/>
  <c r="I666" i="1"/>
  <c r="P666" i="1" s="1"/>
  <c r="P667" i="1"/>
  <c r="I197" i="2"/>
  <c r="P346" i="1"/>
  <c r="H97" i="2"/>
  <c r="I287" i="1"/>
  <c r="P287" i="1" s="1"/>
  <c r="P288" i="1"/>
  <c r="I376" i="1"/>
  <c r="P376" i="1" s="1"/>
  <c r="P377" i="1"/>
  <c r="P382" i="1"/>
  <c r="I588" i="1"/>
  <c r="P588" i="1" s="1"/>
  <c r="P589" i="1"/>
  <c r="I557" i="1"/>
  <c r="P557" i="1" s="1"/>
  <c r="P558" i="1"/>
  <c r="I111" i="1"/>
  <c r="P112" i="1"/>
  <c r="I536" i="1"/>
  <c r="P537" i="1"/>
  <c r="P792" i="1"/>
  <c r="I645" i="1"/>
  <c r="P645" i="1" s="1"/>
  <c r="P646" i="1"/>
  <c r="I706" i="1"/>
  <c r="P706" i="1" s="1"/>
  <c r="P707" i="1"/>
  <c r="I101" i="1"/>
  <c r="P101" i="1" s="1"/>
  <c r="P102" i="1"/>
  <c r="I280" i="1"/>
  <c r="P280" i="1" s="1"/>
  <c r="P281" i="1"/>
  <c r="I247" i="1"/>
  <c r="P247" i="1" s="1"/>
  <c r="P248" i="1"/>
  <c r="I290" i="1"/>
  <c r="P290" i="1" s="1"/>
  <c r="P291" i="1"/>
  <c r="I144" i="1"/>
  <c r="P144" i="1" s="1"/>
  <c r="P145" i="1"/>
  <c r="I402" i="1"/>
  <c r="P402" i="1" s="1"/>
  <c r="P403" i="1"/>
  <c r="I164" i="2"/>
  <c r="I420" i="1"/>
  <c r="P420" i="1" s="1"/>
  <c r="P421" i="1"/>
  <c r="I448" i="1"/>
  <c r="P448" i="1" s="1"/>
  <c r="P449" i="1"/>
  <c r="I487" i="1"/>
  <c r="P488" i="1"/>
  <c r="I605" i="1"/>
  <c r="P606" i="1"/>
  <c r="I335" i="1"/>
  <c r="P336" i="1"/>
  <c r="I657" i="1"/>
  <c r="I306" i="1"/>
  <c r="P307" i="1"/>
  <c r="I128" i="1"/>
  <c r="P128" i="1" s="1"/>
  <c r="P129" i="1"/>
  <c r="I238" i="1"/>
  <c r="P239" i="1"/>
  <c r="I277" i="1"/>
  <c r="P278" i="1"/>
  <c r="I636" i="1"/>
  <c r="P636" i="1" s="1"/>
  <c r="P637" i="1"/>
  <c r="I687" i="1"/>
  <c r="P687" i="1" s="1"/>
  <c r="P688" i="1"/>
  <c r="I515" i="1"/>
  <c r="P515" i="1" s="1"/>
  <c r="P516" i="1"/>
  <c r="I539" i="1"/>
  <c r="P539" i="1" s="1"/>
  <c r="P540" i="1"/>
  <c r="I227" i="1"/>
  <c r="P227" i="1" s="1"/>
  <c r="P228" i="1"/>
  <c r="I749" i="1"/>
  <c r="P750" i="1"/>
  <c r="I533" i="1"/>
  <c r="P533" i="1" s="1"/>
  <c r="P534" i="1"/>
  <c r="P574" i="1"/>
  <c r="H73" i="2"/>
  <c r="I25" i="1"/>
  <c r="P25" i="1" s="1"/>
  <c r="P26" i="1"/>
  <c r="I89" i="1"/>
  <c r="P89" i="1" s="1"/>
  <c r="P90" i="1"/>
  <c r="I62" i="1"/>
  <c r="P63" i="1"/>
  <c r="I150" i="1"/>
  <c r="P150" i="1" s="1"/>
  <c r="P151" i="1"/>
  <c r="I186" i="1"/>
  <c r="P186" i="1" s="1"/>
  <c r="P187" i="1"/>
  <c r="I39" i="1"/>
  <c r="P40" i="1"/>
  <c r="I351" i="1"/>
  <c r="P351" i="1" s="1"/>
  <c r="P352" i="1"/>
  <c r="I579" i="1"/>
  <c r="P580" i="1"/>
  <c r="I75" i="1"/>
  <c r="P76" i="1"/>
  <c r="I98" i="1"/>
  <c r="P98" i="1" s="1"/>
  <c r="P99" i="1"/>
  <c r="I183" i="1"/>
  <c r="P183" i="1" s="1"/>
  <c r="P184" i="1"/>
  <c r="I210" i="1"/>
  <c r="P210" i="1" s="1"/>
  <c r="P211" i="1"/>
  <c r="I250" i="1"/>
  <c r="P250" i="1" s="1"/>
  <c r="P251" i="1"/>
  <c r="I180" i="1"/>
  <c r="P180" i="1" s="1"/>
  <c r="P181" i="1"/>
  <c r="I320" i="1"/>
  <c r="P320" i="1" s="1"/>
  <c r="P321" i="1"/>
  <c r="I277" i="2"/>
  <c r="I276" i="2" s="1"/>
  <c r="G276" i="2"/>
  <c r="I423" i="1"/>
  <c r="P423" i="1" s="1"/>
  <c r="P424" i="1"/>
  <c r="I451" i="1"/>
  <c r="P451" i="1" s="1"/>
  <c r="P452" i="1"/>
  <c r="G274" i="2"/>
  <c r="I274" i="2" s="1"/>
  <c r="P461" i="1"/>
  <c r="I484" i="1"/>
  <c r="P484" i="1" s="1"/>
  <c r="P485" i="1"/>
  <c r="I608" i="1"/>
  <c r="P608" i="1" s="1"/>
  <c r="P609" i="1"/>
  <c r="I639" i="1"/>
  <c r="P640" i="1"/>
  <c r="I732" i="1"/>
  <c r="P732" i="1" s="1"/>
  <c r="P733" i="1"/>
  <c r="I102" i="2"/>
  <c r="I776" i="1"/>
  <c r="P776" i="1" s="1"/>
  <c r="P777" i="1"/>
  <c r="I233" i="1"/>
  <c r="P233" i="1" s="1"/>
  <c r="P234" i="1"/>
  <c r="P269" i="1"/>
  <c r="H203" i="2"/>
  <c r="I203" i="2" s="1"/>
  <c r="I204" i="2"/>
  <c r="H143" i="2"/>
  <c r="I143" i="2" s="1"/>
  <c r="I144" i="2"/>
  <c r="H107" i="2"/>
  <c r="I107" i="2" s="1"/>
  <c r="I108" i="2"/>
  <c r="I221" i="2"/>
  <c r="I30" i="2"/>
  <c r="I17" i="2"/>
  <c r="I14" i="2"/>
  <c r="I169" i="2"/>
  <c r="I256" i="2"/>
  <c r="I12" i="2"/>
  <c r="H200" i="2"/>
  <c r="I200" i="2" s="1"/>
  <c r="I201" i="2"/>
  <c r="H109" i="2"/>
  <c r="I109" i="2" s="1"/>
  <c r="I110" i="2"/>
  <c r="I21" i="2"/>
  <c r="I15" i="2"/>
  <c r="I148" i="2"/>
  <c r="I192" i="2"/>
  <c r="I13" i="2"/>
  <c r="H225" i="2"/>
  <c r="I142" i="2"/>
  <c r="I255" i="2"/>
  <c r="I149" i="2"/>
  <c r="I193" i="2"/>
  <c r="H198" i="2"/>
  <c r="I198" i="2" s="1"/>
  <c r="I199" i="2"/>
  <c r="H131" i="2"/>
  <c r="I136" i="2"/>
  <c r="H167" i="2"/>
  <c r="H156" i="2"/>
  <c r="I223" i="2"/>
  <c r="I220" i="2"/>
  <c r="I284" i="2"/>
  <c r="I168" i="2"/>
  <c r="G19" i="3"/>
  <c r="G31" i="3"/>
  <c r="H195" i="2"/>
  <c r="H275" i="2"/>
  <c r="G55" i="2"/>
  <c r="G226" i="2"/>
  <c r="G225" i="2" s="1"/>
  <c r="F137" i="2"/>
  <c r="F255" i="2"/>
  <c r="G195" i="2"/>
  <c r="G137" i="2"/>
  <c r="H137" i="2"/>
  <c r="I137" i="2" s="1"/>
  <c r="H693" i="1"/>
  <c r="I693" i="1"/>
  <c r="P693" i="1" s="1"/>
  <c r="H467" i="1"/>
  <c r="H466" i="1" s="1"/>
  <c r="H465" i="1" s="1"/>
  <c r="H464" i="1" s="1"/>
  <c r="H463" i="1" s="1"/>
  <c r="H462" i="1" s="1"/>
  <c r="I467" i="1"/>
  <c r="H85" i="1"/>
  <c r="H84" i="1" s="1"/>
  <c r="H83" i="1" s="1"/>
  <c r="E34" i="3" s="1"/>
  <c r="F230" i="2"/>
  <c r="F226" i="2" s="1"/>
  <c r="G618" i="1"/>
  <c r="G615" i="1" s="1"/>
  <c r="G698" i="1"/>
  <c r="G697" i="1" s="1"/>
  <c r="G693" i="1" s="1"/>
  <c r="F57" i="2"/>
  <c r="F55" i="2" s="1"/>
  <c r="J814" i="1"/>
  <c r="J816" i="1" s="1"/>
  <c r="G440" i="1"/>
  <c r="G257" i="1"/>
  <c r="G256" i="1" s="1"/>
  <c r="G255" i="1" s="1"/>
  <c r="G254" i="1" s="1"/>
  <c r="I345" i="1"/>
  <c r="G87" i="1"/>
  <c r="G86" i="1" s="1"/>
  <c r="G231" i="1"/>
  <c r="G230" i="1" s="1"/>
  <c r="H658" i="1"/>
  <c r="H657" i="1" s="1"/>
  <c r="G499" i="1"/>
  <c r="G498" i="1" s="1"/>
  <c r="G187" i="1"/>
  <c r="G186" i="1" s="1"/>
  <c r="G288" i="1"/>
  <c r="G287" i="1" s="1"/>
  <c r="G370" i="1"/>
  <c r="F34" i="2"/>
  <c r="F30" i="2" s="1"/>
  <c r="G46" i="1"/>
  <c r="G45" i="1" s="1"/>
  <c r="G44" i="1" s="1"/>
  <c r="I170" i="1"/>
  <c r="G543" i="1"/>
  <c r="G542" i="1" s="1"/>
  <c r="G185" i="2"/>
  <c r="I185" i="2" s="1"/>
  <c r="I85" i="1"/>
  <c r="G406" i="1"/>
  <c r="G405" i="1" s="1"/>
  <c r="G446" i="1"/>
  <c r="H460" i="1"/>
  <c r="P460" i="1" s="1"/>
  <c r="H218" i="1"/>
  <c r="H209" i="1" s="1"/>
  <c r="H208" i="1" s="1"/>
  <c r="G327" i="1"/>
  <c r="G326" i="1" s="1"/>
  <c r="G325" i="1" s="1"/>
  <c r="G324" i="1" s="1"/>
  <c r="G323" i="1" s="1"/>
  <c r="G291" i="1"/>
  <c r="G290" i="1" s="1"/>
  <c r="I406" i="1"/>
  <c r="F185" i="2"/>
  <c r="F195" i="2"/>
  <c r="H246" i="1"/>
  <c r="H245" i="1" s="1"/>
  <c r="H244" i="1" s="1"/>
  <c r="H243" i="1" s="1"/>
  <c r="G726" i="1"/>
  <c r="G626" i="1"/>
  <c r="G625" i="1" s="1"/>
  <c r="G624" i="1" s="1"/>
  <c r="G623" i="1" s="1"/>
  <c r="D52" i="3" s="1"/>
  <c r="H73" i="1"/>
  <c r="H72" i="1" s="1"/>
  <c r="H65" i="1" s="1"/>
  <c r="F211" i="2"/>
  <c r="G468" i="1"/>
  <c r="F83" i="2"/>
  <c r="G90" i="1"/>
  <c r="G89" i="1" s="1"/>
  <c r="H143" i="1"/>
  <c r="H142" i="1" s="1"/>
  <c r="F174" i="2"/>
  <c r="F170" i="2" s="1"/>
  <c r="F167" i="2" s="1"/>
  <c r="G382" i="1"/>
  <c r="G199" i="1"/>
  <c r="G198" i="1" s="1"/>
  <c r="G197" i="1" s="1"/>
  <c r="G196" i="1" s="1"/>
  <c r="G195" i="1" s="1"/>
  <c r="D18" i="3" s="1"/>
  <c r="G455" i="1"/>
  <c r="G454" i="1" s="1"/>
  <c r="I683" i="1"/>
  <c r="P683" i="1" s="1"/>
  <c r="G56" i="1"/>
  <c r="G55" i="1" s="1"/>
  <c r="G54" i="1" s="1"/>
  <c r="F155" i="2"/>
  <c r="F153" i="2" s="1"/>
  <c r="G674" i="1"/>
  <c r="G673" i="1" s="1"/>
  <c r="G672" i="1" s="1"/>
  <c r="G63" i="1"/>
  <c r="G62" i="1" s="1"/>
  <c r="G61" i="1" s="1"/>
  <c r="G60" i="1" s="1"/>
  <c r="G59" i="1" s="1"/>
  <c r="G58" i="1" s="1"/>
  <c r="D25" i="3" s="1"/>
  <c r="G564" i="1"/>
  <c r="G563" i="1" s="1"/>
  <c r="G392" i="1"/>
  <c r="G658" i="1"/>
  <c r="G657" i="1" s="1"/>
  <c r="F102" i="2"/>
  <c r="F101" i="2" s="1"/>
  <c r="F100" i="2" s="1"/>
  <c r="G801" i="1"/>
  <c r="G800" i="1" s="1"/>
  <c r="G224" i="1"/>
  <c r="G223" i="1" s="1"/>
  <c r="G219" i="1"/>
  <c r="G218" i="1" s="1"/>
  <c r="H157" i="1"/>
  <c r="H156" i="1" s="1"/>
  <c r="H155" i="1" s="1"/>
  <c r="E13" i="3" s="1"/>
  <c r="G516" i="1"/>
  <c r="G515" i="1" s="1"/>
  <c r="G430" i="1"/>
  <c r="F176" i="2"/>
  <c r="H112" i="2"/>
  <c r="I112" i="2" s="1"/>
  <c r="G343" i="1"/>
  <c r="G342" i="1" s="1"/>
  <c r="G341" i="1" s="1"/>
  <c r="G340" i="1" s="1"/>
  <c r="G339" i="1" s="1"/>
  <c r="G788" i="1"/>
  <c r="G787" i="1" s="1"/>
  <c r="I169" i="1"/>
  <c r="I218" i="1"/>
  <c r="F190" i="2"/>
  <c r="G573" i="1"/>
  <c r="G572" i="1" s="1"/>
  <c r="G571" i="1" s="1"/>
  <c r="G143" i="1"/>
  <c r="G142" i="1" s="1"/>
  <c r="G758" i="1"/>
  <c r="G757" i="1" s="1"/>
  <c r="G756" i="1" s="1"/>
  <c r="G755" i="1" s="1"/>
  <c r="G754" i="1" s="1"/>
  <c r="G753" i="1" s="1"/>
  <c r="G752" i="1" s="1"/>
  <c r="G414" i="1"/>
  <c r="G170" i="1"/>
  <c r="G494" i="1"/>
  <c r="G493" i="1" s="1"/>
  <c r="H238" i="1"/>
  <c r="H237" i="1" s="1"/>
  <c r="H236" i="1" s="1"/>
  <c r="I725" i="1"/>
  <c r="G157" i="1"/>
  <c r="G156" i="1" s="1"/>
  <c r="G155" i="1" s="1"/>
  <c r="D13" i="3" s="1"/>
  <c r="G358" i="1"/>
  <c r="G357" i="1" s="1"/>
  <c r="G356" i="1" s="1"/>
  <c r="G355" i="1" s="1"/>
  <c r="G354" i="1" s="1"/>
  <c r="G531" i="1"/>
  <c r="G530" i="1" s="1"/>
  <c r="G228" i="1"/>
  <c r="G227" i="1" s="1"/>
  <c r="G26" i="1"/>
  <c r="G25" i="1" s="1"/>
  <c r="G184" i="1"/>
  <c r="G183" i="1" s="1"/>
  <c r="G18" i="1"/>
  <c r="H124" i="1"/>
  <c r="H123" i="1" s="1"/>
  <c r="H122" i="1" s="1"/>
  <c r="E59" i="3" s="1"/>
  <c r="G189" i="2"/>
  <c r="I189" i="2" s="1"/>
  <c r="G575" i="1"/>
  <c r="H505" i="1"/>
  <c r="H504" i="1" s="1"/>
  <c r="H503" i="1" s="1"/>
  <c r="H683" i="1"/>
  <c r="G350" i="1"/>
  <c r="G349" i="1" s="1"/>
  <c r="G348" i="1" s="1"/>
  <c r="H54" i="1"/>
  <c r="H53" i="1"/>
  <c r="H264" i="1"/>
  <c r="H263" i="1" s="1"/>
  <c r="H262" i="1" s="1"/>
  <c r="E29" i="3" s="1"/>
  <c r="G303" i="1"/>
  <c r="D32" i="3" s="1"/>
  <c r="I635" i="1"/>
  <c r="H787" i="1"/>
  <c r="H786" i="1" s="1"/>
  <c r="H785" i="1" s="1"/>
  <c r="H784" i="1" s="1"/>
  <c r="H783" i="1" s="1"/>
  <c r="H782" i="1" s="1"/>
  <c r="I505" i="1"/>
  <c r="H369" i="1"/>
  <c r="H368" i="1" s="1"/>
  <c r="H367" i="1" s="1"/>
  <c r="G429" i="1"/>
  <c r="I615" i="1"/>
  <c r="G213" i="1"/>
  <c r="G238" i="1"/>
  <c r="G237" i="1" s="1"/>
  <c r="G236" i="1" s="1"/>
  <c r="I342" i="1"/>
  <c r="H429" i="1"/>
  <c r="H412" i="1" s="1"/>
  <c r="H411" i="1" s="1"/>
  <c r="H410" i="1" s="1"/>
  <c r="H409" i="1" s="1"/>
  <c r="H408" i="1" s="1"/>
  <c r="G276" i="1"/>
  <c r="I573" i="1"/>
  <c r="I379" i="1"/>
  <c r="G316" i="1"/>
  <c r="G315" i="1" s="1"/>
  <c r="G314" i="1" s="1"/>
  <c r="F205" i="2"/>
  <c r="I787" i="1"/>
  <c r="I620" i="1"/>
  <c r="F51" i="2"/>
  <c r="H650" i="1"/>
  <c r="H660" i="1"/>
  <c r="G103" i="2" s="1"/>
  <c r="G101" i="2" s="1"/>
  <c r="G100" i="2" s="1"/>
  <c r="I264" i="1"/>
  <c r="I660" i="1"/>
  <c r="I53" i="1"/>
  <c r="G124" i="1"/>
  <c r="G123" i="1" s="1"/>
  <c r="G122" i="1" s="1"/>
  <c r="D59" i="3" s="1"/>
  <c r="G131" i="1"/>
  <c r="D60" i="3" s="1"/>
  <c r="H345" i="1"/>
  <c r="H342" i="1" s="1"/>
  <c r="H341" i="1" s="1"/>
  <c r="H340" i="1" s="1"/>
  <c r="H339" i="1" s="1"/>
  <c r="H332" i="1" s="1"/>
  <c r="G637" i="1"/>
  <c r="G636" i="1" s="1"/>
  <c r="H725" i="1"/>
  <c r="H724" i="1" s="1"/>
  <c r="H723" i="1" s="1"/>
  <c r="H722" i="1" s="1"/>
  <c r="E48" i="3" s="1"/>
  <c r="G670" i="1"/>
  <c r="G669" i="1" s="1"/>
  <c r="G656" i="1" s="1"/>
  <c r="G655" i="1" s="1"/>
  <c r="G654" i="1" s="1"/>
  <c r="D44" i="3" s="1"/>
  <c r="F19" i="2"/>
  <c r="F125" i="2"/>
  <c r="F82" i="2"/>
  <c r="H573" i="1"/>
  <c r="H572" i="1" s="1"/>
  <c r="H571" i="1" s="1"/>
  <c r="G94" i="1"/>
  <c r="G93" i="1" s="1"/>
  <c r="G92" i="1" s="1"/>
  <c r="D36" i="3" s="1"/>
  <c r="F284" i="2"/>
  <c r="G379" i="1"/>
  <c r="G375" i="1" s="1"/>
  <c r="G374" i="1" s="1"/>
  <c r="F274" i="2"/>
  <c r="F265" i="2" s="1"/>
  <c r="G599" i="1"/>
  <c r="H582" i="1"/>
  <c r="G85" i="2" s="1"/>
  <c r="I494" i="1"/>
  <c r="G170" i="2"/>
  <c r="G167" i="2" s="1"/>
  <c r="G73" i="1"/>
  <c r="G72" i="1" s="1"/>
  <c r="G246" i="1"/>
  <c r="G245" i="1" s="1"/>
  <c r="G244" i="1" s="1"/>
  <c r="G243" i="1" s="1"/>
  <c r="G390" i="1"/>
  <c r="G389" i="1" s="1"/>
  <c r="G388" i="1" s="1"/>
  <c r="G387" i="1" s="1"/>
  <c r="G386" i="1" s="1"/>
  <c r="G385" i="1" s="1"/>
  <c r="G384" i="1" s="1"/>
  <c r="H406" i="1"/>
  <c r="H405" i="1" s="1"/>
  <c r="G427" i="1"/>
  <c r="G426" i="1" s="1"/>
  <c r="H458" i="1"/>
  <c r="H457" i="1" s="1"/>
  <c r="G649" i="1"/>
  <c r="G648" i="1" s="1"/>
  <c r="G725" i="1"/>
  <c r="G724" i="1" s="1"/>
  <c r="G723" i="1" s="1"/>
  <c r="G722" i="1" s="1"/>
  <c r="D48" i="3" s="1"/>
  <c r="H673" i="1"/>
  <c r="H672" i="1" s="1"/>
  <c r="I582" i="1"/>
  <c r="H620" i="1"/>
  <c r="G81" i="2" s="1"/>
  <c r="H170" i="1"/>
  <c r="H169" i="1" s="1"/>
  <c r="H168" i="1" s="1"/>
  <c r="H167" i="1" s="1"/>
  <c r="E15" i="3" s="1"/>
  <c r="I157" i="1"/>
  <c r="H626" i="1"/>
  <c r="H625" i="1" s="1"/>
  <c r="H624" i="1" s="1"/>
  <c r="H623" i="1" s="1"/>
  <c r="E52" i="3" s="1"/>
  <c r="G505" i="1"/>
  <c r="G504" i="1" s="1"/>
  <c r="G503" i="1" s="1"/>
  <c r="D41" i="3" s="1"/>
  <c r="G205" i="2"/>
  <c r="G194" i="2" s="1"/>
  <c r="H615" i="1"/>
  <c r="I246" i="1"/>
  <c r="I369" i="1"/>
  <c r="H389" i="1"/>
  <c r="H413" i="1"/>
  <c r="H439" i="1"/>
  <c r="G209" i="2"/>
  <c r="G208" i="2" s="1"/>
  <c r="I769" i="1"/>
  <c r="H769" i="1"/>
  <c r="H768" i="1" s="1"/>
  <c r="H767" i="1" s="1"/>
  <c r="H766" i="1" s="1"/>
  <c r="H765" i="1" s="1"/>
  <c r="H764" i="1" s="1"/>
  <c r="F17" i="2"/>
  <c r="G683" i="1"/>
  <c r="I626" i="1"/>
  <c r="I594" i="1"/>
  <c r="H594" i="1"/>
  <c r="H593" i="1" s="1"/>
  <c r="H592" i="1" s="1"/>
  <c r="H591" i="1" s="1"/>
  <c r="H125" i="2"/>
  <c r="H494" i="1"/>
  <c r="H493" i="1" s="1"/>
  <c r="G258" i="2"/>
  <c r="I477" i="1"/>
  <c r="H477" i="1"/>
  <c r="H476" i="1" s="1"/>
  <c r="H475" i="1" s="1"/>
  <c r="I457" i="1"/>
  <c r="P457" i="1" s="1"/>
  <c r="I429" i="1"/>
  <c r="P429" i="1" s="1"/>
  <c r="I413" i="1"/>
  <c r="I389" i="1"/>
  <c r="H379" i="1"/>
  <c r="G153" i="2"/>
  <c r="G147" i="2" s="1"/>
  <c r="H303" i="1"/>
  <c r="E32" i="3" s="1"/>
  <c r="I286" i="1"/>
  <c r="H286" i="1"/>
  <c r="H105" i="1"/>
  <c r="H104" i="1" s="1"/>
  <c r="E37" i="3" s="1"/>
  <c r="G112" i="2"/>
  <c r="G11" i="2"/>
  <c r="I11" i="2" s="1"/>
  <c r="F189" i="2"/>
  <c r="F131" i="2"/>
  <c r="H219" i="2"/>
  <c r="G219" i="2"/>
  <c r="G218" i="2" s="1"/>
  <c r="H208" i="2"/>
  <c r="I208" i="2" s="1"/>
  <c r="F21" i="2"/>
  <c r="G176" i="2"/>
  <c r="I176" i="2" s="1"/>
  <c r="F112" i="2"/>
  <c r="G265" i="2"/>
  <c r="I265" i="2" s="1"/>
  <c r="I202" i="1"/>
  <c r="I203" i="1"/>
  <c r="H190" i="1"/>
  <c r="H189" i="1" s="1"/>
  <c r="H191" i="1"/>
  <c r="I143" i="1"/>
  <c r="H131" i="1"/>
  <c r="E60" i="3" s="1"/>
  <c r="I124" i="1"/>
  <c r="G131" i="2"/>
  <c r="H94" i="1"/>
  <c r="H93" i="1" s="1"/>
  <c r="H92" i="1" s="1"/>
  <c r="E36" i="3" s="1"/>
  <c r="G157" i="2"/>
  <c r="G156" i="2" s="1"/>
  <c r="I54" i="1"/>
  <c r="P54" i="1" s="1"/>
  <c r="G275" i="2"/>
  <c r="I18" i="1"/>
  <c r="H18" i="1"/>
  <c r="H17" i="1" s="1"/>
  <c r="H16" i="1" s="1"/>
  <c r="H15" i="1" s="1"/>
  <c r="H14" i="1" s="1"/>
  <c r="I43" i="1"/>
  <c r="I44" i="1"/>
  <c r="E39" i="3"/>
  <c r="E38" i="3" s="1"/>
  <c r="H323" i="1"/>
  <c r="D28" i="3"/>
  <c r="E28" i="3"/>
  <c r="D27" i="3"/>
  <c r="G203" i="1"/>
  <c r="G202" i="1"/>
  <c r="G201" i="1" s="1"/>
  <c r="H276" i="1"/>
  <c r="G184" i="2"/>
  <c r="I191" i="1"/>
  <c r="I190" i="1"/>
  <c r="D39" i="3"/>
  <c r="D38" i="3" s="1"/>
  <c r="H202" i="1"/>
  <c r="H201" i="1" s="1"/>
  <c r="H203" i="1"/>
  <c r="I276" i="1"/>
  <c r="P276" i="1" s="1"/>
  <c r="E55" i="3"/>
  <c r="E54" i="3" s="1"/>
  <c r="H741" i="1"/>
  <c r="G52" i="1"/>
  <c r="E27" i="3"/>
  <c r="H106" i="2"/>
  <c r="I106" i="2" s="1"/>
  <c r="I670" i="1"/>
  <c r="I258" i="1"/>
  <c r="F71" i="2"/>
  <c r="G546" i="1"/>
  <c r="G545" i="1" s="1"/>
  <c r="F15" i="2"/>
  <c r="F14" i="2" s="1"/>
  <c r="F11" i="2" s="1"/>
  <c r="G750" i="1"/>
  <c r="G749" i="1" s="1"/>
  <c r="G748" i="1" s="1"/>
  <c r="G743" i="1" s="1"/>
  <c r="G742" i="1" s="1"/>
  <c r="F75" i="2"/>
  <c r="G558" i="1"/>
  <c r="G557" i="1" s="1"/>
  <c r="H44" i="1"/>
  <c r="F184" i="2"/>
  <c r="F180" i="2" s="1"/>
  <c r="G769" i="1"/>
  <c r="G768" i="1" s="1"/>
  <c r="G767" i="1" s="1"/>
  <c r="G766" i="1" s="1"/>
  <c r="G765" i="1" s="1"/>
  <c r="G764" i="1" s="1"/>
  <c r="G191" i="1"/>
  <c r="G369" i="1"/>
  <c r="G368" i="1" s="1"/>
  <c r="G367" i="1" s="1"/>
  <c r="I94" i="1"/>
  <c r="I327" i="1"/>
  <c r="I316" i="1"/>
  <c r="H316" i="1"/>
  <c r="H315" i="1" s="1"/>
  <c r="H314" i="1" s="1"/>
  <c r="H313" i="1" s="1"/>
  <c r="G114" i="1"/>
  <c r="D57" i="3"/>
  <c r="D56" i="3" s="1"/>
  <c r="G106" i="1"/>
  <c r="G105" i="1" s="1"/>
  <c r="G104" i="1" s="1"/>
  <c r="D37" i="3" s="1"/>
  <c r="F152" i="2"/>
  <c r="F151" i="2" s="1"/>
  <c r="G125" i="2"/>
  <c r="D50" i="3"/>
  <c r="F219" i="2"/>
  <c r="F218" i="2" s="1"/>
  <c r="F50" i="3"/>
  <c r="I350" i="1"/>
  <c r="H114" i="1"/>
  <c r="E57" i="3"/>
  <c r="E56" i="3" s="1"/>
  <c r="G807" i="1"/>
  <c r="G806" i="1" s="1"/>
  <c r="F217" i="2"/>
  <c r="F70" i="2"/>
  <c r="G337" i="1"/>
  <c r="G336" i="1" s="1"/>
  <c r="G335" i="1" s="1"/>
  <c r="G334" i="1" s="1"/>
  <c r="G333" i="1" s="1"/>
  <c r="G332" i="1" s="1"/>
  <c r="F123" i="2"/>
  <c r="F116" i="2" s="1"/>
  <c r="G35" i="1"/>
  <c r="G34" i="1" s="1"/>
  <c r="G88" i="2"/>
  <c r="F258" i="2"/>
  <c r="E50" i="3"/>
  <c r="H350" i="1"/>
  <c r="H349" i="1" s="1"/>
  <c r="H348" i="1" s="1"/>
  <c r="F47" i="2"/>
  <c r="G720" i="1"/>
  <c r="G719" i="1" s="1"/>
  <c r="G712" i="1" s="1"/>
  <c r="H52" i="1"/>
  <c r="H116" i="2"/>
  <c r="G116" i="2"/>
  <c r="G264" i="1"/>
  <c r="G263" i="1" s="1"/>
  <c r="G262" i="1" s="1"/>
  <c r="D29" i="3" s="1"/>
  <c r="H719" i="1"/>
  <c r="H712" i="1" s="1"/>
  <c r="G416" i="1"/>
  <c r="G458" i="1"/>
  <c r="G457" i="1" s="1"/>
  <c r="G442" i="1"/>
  <c r="G480" i="1"/>
  <c r="G477" i="1" s="1"/>
  <c r="G476" i="1" s="1"/>
  <c r="G475" i="1" s="1"/>
  <c r="G474" i="1" s="1"/>
  <c r="G473" i="1" s="1"/>
  <c r="G472" i="1" s="1"/>
  <c r="G646" i="1"/>
  <c r="G645" i="1" s="1"/>
  <c r="F163" i="2"/>
  <c r="F157" i="2" s="1"/>
  <c r="F156" i="2" s="1"/>
  <c r="F95" i="2"/>
  <c r="F88" i="2" s="1"/>
  <c r="F214" i="2"/>
  <c r="I440" i="1"/>
  <c r="P440" i="1" s="1"/>
  <c r="G597" i="1"/>
  <c r="I669" i="1" l="1"/>
  <c r="P669" i="1" s="1"/>
  <c r="P670" i="1"/>
  <c r="I189" i="1"/>
  <c r="P189" i="1" s="1"/>
  <c r="P190" i="1"/>
  <c r="P44" i="1"/>
  <c r="I326" i="1"/>
  <c r="P327" i="1"/>
  <c r="P203" i="1"/>
  <c r="I625" i="1"/>
  <c r="P626" i="1"/>
  <c r="I493" i="1"/>
  <c r="P493" i="1" s="1"/>
  <c r="P494" i="1"/>
  <c r="G635" i="1"/>
  <c r="G634" i="1" s="1"/>
  <c r="G633" i="1" s="1"/>
  <c r="G17" i="1"/>
  <c r="G16" i="1" s="1"/>
  <c r="G15" i="1" s="1"/>
  <c r="I349" i="1"/>
  <c r="P350" i="1"/>
  <c r="I93" i="1"/>
  <c r="P94" i="1"/>
  <c r="I257" i="1"/>
  <c r="P258" i="1"/>
  <c r="I17" i="1"/>
  <c r="P18" i="1"/>
  <c r="I142" i="1"/>
  <c r="P143" i="1"/>
  <c r="I201" i="1"/>
  <c r="P201" i="1" s="1"/>
  <c r="P202" i="1"/>
  <c r="P413" i="1"/>
  <c r="I476" i="1"/>
  <c r="P477" i="1"/>
  <c r="I768" i="1"/>
  <c r="P769" i="1"/>
  <c r="I156" i="1"/>
  <c r="P157" i="1"/>
  <c r="P53" i="1"/>
  <c r="P650" i="1"/>
  <c r="G51" i="2"/>
  <c r="I504" i="1"/>
  <c r="P505" i="1"/>
  <c r="I724" i="1"/>
  <c r="P725" i="1"/>
  <c r="P170" i="1"/>
  <c r="I167" i="2"/>
  <c r="P639" i="1"/>
  <c r="H39" i="2"/>
  <c r="P579" i="1"/>
  <c r="H84" i="2"/>
  <c r="P658" i="1"/>
  <c r="P458" i="1"/>
  <c r="P536" i="1"/>
  <c r="H66" i="2"/>
  <c r="I66" i="2" s="1"/>
  <c r="I672" i="1"/>
  <c r="P672" i="1" s="1"/>
  <c r="P673" i="1"/>
  <c r="I97" i="2"/>
  <c r="I744" i="1"/>
  <c r="P745" i="1"/>
  <c r="I138" i="1"/>
  <c r="P139" i="1"/>
  <c r="I614" i="1"/>
  <c r="P615" i="1"/>
  <c r="G529" i="1"/>
  <c r="I209" i="1"/>
  <c r="P218" i="1"/>
  <c r="I84" i="1"/>
  <c r="P85" i="1"/>
  <c r="I38" i="1"/>
  <c r="P39" i="1"/>
  <c r="I748" i="1"/>
  <c r="P748" i="1" s="1"/>
  <c r="P749" i="1"/>
  <c r="P277" i="1"/>
  <c r="H184" i="2"/>
  <c r="H180" i="2" s="1"/>
  <c r="H175" i="2" s="1"/>
  <c r="P657" i="1"/>
  <c r="P605" i="1"/>
  <c r="H94" i="2"/>
  <c r="I94" i="2" s="1"/>
  <c r="I356" i="1"/>
  <c r="P357" i="1"/>
  <c r="I197" i="1"/>
  <c r="P198" i="1"/>
  <c r="P512" i="1"/>
  <c r="H58" i="2"/>
  <c r="I68" i="1"/>
  <c r="P69" i="1"/>
  <c r="P530" i="1"/>
  <c r="I529" i="1"/>
  <c r="I78" i="1"/>
  <c r="P79" i="1"/>
  <c r="I133" i="1"/>
  <c r="P134" i="1"/>
  <c r="I315" i="1"/>
  <c r="P316" i="1"/>
  <c r="P191" i="1"/>
  <c r="I42" i="1"/>
  <c r="P42" i="1" s="1"/>
  <c r="P43" i="1"/>
  <c r="I123" i="1"/>
  <c r="P124" i="1"/>
  <c r="P286" i="1"/>
  <c r="I593" i="1"/>
  <c r="P594" i="1"/>
  <c r="I368" i="1"/>
  <c r="P369" i="1"/>
  <c r="I263" i="1"/>
  <c r="P264" i="1"/>
  <c r="P620" i="1"/>
  <c r="H81" i="2"/>
  <c r="I375" i="1"/>
  <c r="P379" i="1"/>
  <c r="I341" i="1"/>
  <c r="P342" i="1"/>
  <c r="I634" i="1"/>
  <c r="I168" i="1"/>
  <c r="P169" i="1"/>
  <c r="I405" i="1"/>
  <c r="P405" i="1" s="1"/>
  <c r="P406" i="1"/>
  <c r="P345" i="1"/>
  <c r="I74" i="1"/>
  <c r="P74" i="1" s="1"/>
  <c r="P75" i="1"/>
  <c r="I110" i="1"/>
  <c r="P110" i="1" s="1"/>
  <c r="P111" i="1"/>
  <c r="P719" i="1"/>
  <c r="I676" i="1"/>
  <c r="P676" i="1" s="1"/>
  <c r="P677" i="1"/>
  <c r="P716" i="1"/>
  <c r="I712" i="1"/>
  <c r="P712" i="1" s="1"/>
  <c r="I309" i="1"/>
  <c r="P309" i="1" s="1"/>
  <c r="P310" i="1"/>
  <c r="I362" i="1"/>
  <c r="P363" i="1"/>
  <c r="H103" i="2"/>
  <c r="I103" i="2" s="1"/>
  <c r="P660" i="1"/>
  <c r="G594" i="1"/>
  <c r="G593" i="1" s="1"/>
  <c r="G592" i="1" s="1"/>
  <c r="G591" i="1" s="1"/>
  <c r="D45" i="3" s="1"/>
  <c r="I388" i="1"/>
  <c r="P389" i="1"/>
  <c r="I245" i="1"/>
  <c r="P246" i="1"/>
  <c r="P582" i="1"/>
  <c r="H85" i="2"/>
  <c r="I786" i="1"/>
  <c r="P787" i="1"/>
  <c r="I572" i="1"/>
  <c r="P573" i="1"/>
  <c r="I466" i="1"/>
  <c r="P467" i="1"/>
  <c r="I61" i="1"/>
  <c r="P62" i="1"/>
  <c r="I237" i="1"/>
  <c r="P238" i="1"/>
  <c r="I305" i="1"/>
  <c r="P306" i="1"/>
  <c r="I334" i="1"/>
  <c r="P335" i="1"/>
  <c r="P487" i="1"/>
  <c r="H263" i="2"/>
  <c r="I73" i="2"/>
  <c r="I106" i="1"/>
  <c r="P107" i="1"/>
  <c r="H152" i="2"/>
  <c r="I755" i="1"/>
  <c r="P756" i="1"/>
  <c r="I117" i="1"/>
  <c r="P118" i="1"/>
  <c r="I293" i="1"/>
  <c r="P293" i="1" s="1"/>
  <c r="P294" i="1"/>
  <c r="I299" i="1"/>
  <c r="P300" i="1"/>
  <c r="I52" i="1"/>
  <c r="P55" i="1"/>
  <c r="I275" i="2"/>
  <c r="G82" i="2"/>
  <c r="I85" i="2"/>
  <c r="I205" i="2"/>
  <c r="I170" i="2"/>
  <c r="I225" i="2"/>
  <c r="H218" i="2"/>
  <c r="I218" i="2" s="1"/>
  <c r="I219" i="2"/>
  <c r="H194" i="2"/>
  <c r="I194" i="2" s="1"/>
  <c r="I195" i="2"/>
  <c r="I116" i="2"/>
  <c r="I125" i="2"/>
  <c r="I156" i="2"/>
  <c r="I131" i="2"/>
  <c r="I226" i="2"/>
  <c r="G180" i="2"/>
  <c r="I180" i="2" s="1"/>
  <c r="I184" i="2"/>
  <c r="G63" i="2"/>
  <c r="I81" i="2"/>
  <c r="F37" i="2"/>
  <c r="I209" i="2"/>
  <c r="I157" i="2"/>
  <c r="I153" i="2"/>
  <c r="D58" i="3"/>
  <c r="G50" i="3"/>
  <c r="F111" i="2"/>
  <c r="F225" i="2"/>
  <c r="F63" i="2"/>
  <c r="F147" i="2"/>
  <c r="G682" i="1"/>
  <c r="G681" i="1" s="1"/>
  <c r="D47" i="3" s="1"/>
  <c r="D46" i="3" s="1"/>
  <c r="F16" i="2"/>
  <c r="G614" i="1"/>
  <c r="G613" i="1" s="1"/>
  <c r="G612" i="1" s="1"/>
  <c r="H614" i="1"/>
  <c r="G286" i="1"/>
  <c r="G275" i="1" s="1"/>
  <c r="G274" i="1" s="1"/>
  <c r="H275" i="1"/>
  <c r="H274" i="1" s="1"/>
  <c r="E30" i="3" s="1"/>
  <c r="G467" i="1"/>
  <c r="G466" i="1" s="1"/>
  <c r="G465" i="1" s="1"/>
  <c r="G464" i="1" s="1"/>
  <c r="G463" i="1" s="1"/>
  <c r="G462" i="1" s="1"/>
  <c r="F275" i="2"/>
  <c r="H388" i="1"/>
  <c r="H387" i="1" s="1"/>
  <c r="H386" i="1" s="1"/>
  <c r="H385" i="1" s="1"/>
  <c r="H384" i="1" s="1"/>
  <c r="G169" i="1"/>
  <c r="G168" i="1" s="1"/>
  <c r="G167" i="1" s="1"/>
  <c r="D15" i="3" s="1"/>
  <c r="G413" i="1"/>
  <c r="G412" i="1" s="1"/>
  <c r="G411" i="1" s="1"/>
  <c r="G410" i="1" s="1"/>
  <c r="G409" i="1" s="1"/>
  <c r="G408" i="1" s="1"/>
  <c r="G439" i="1"/>
  <c r="G438" i="1" s="1"/>
  <c r="G437" i="1" s="1"/>
  <c r="G436" i="1" s="1"/>
  <c r="G435" i="1" s="1"/>
  <c r="G434" i="1" s="1"/>
  <c r="H111" i="2"/>
  <c r="G43" i="1"/>
  <c r="G42" i="1" s="1"/>
  <c r="G53" i="1"/>
  <c r="I275" i="1"/>
  <c r="E14" i="3"/>
  <c r="H656" i="1"/>
  <c r="H655" i="1" s="1"/>
  <c r="H654" i="1" s="1"/>
  <c r="E44" i="3" s="1"/>
  <c r="F194" i="2"/>
  <c r="F175" i="2"/>
  <c r="D24" i="3"/>
  <c r="D23" i="3" s="1"/>
  <c r="G121" i="1"/>
  <c r="I656" i="1"/>
  <c r="H575" i="1"/>
  <c r="H570" i="1" s="1"/>
  <c r="H569" i="1" s="1"/>
  <c r="G209" i="1"/>
  <c r="G208" i="1" s="1"/>
  <c r="G207" i="1" s="1"/>
  <c r="G85" i="1"/>
  <c r="G84" i="1" s="1"/>
  <c r="G83" i="1" s="1"/>
  <c r="D34" i="3" s="1"/>
  <c r="D35" i="3"/>
  <c r="G313" i="1"/>
  <c r="H207" i="1"/>
  <c r="H154" i="1" s="1"/>
  <c r="G570" i="1"/>
  <c r="G569" i="1" s="1"/>
  <c r="D43" i="3" s="1"/>
  <c r="H82" i="1"/>
  <c r="E24" i="3"/>
  <c r="E23" i="3" s="1"/>
  <c r="H438" i="1"/>
  <c r="H437" i="1" s="1"/>
  <c r="H436" i="1" s="1"/>
  <c r="H435" i="1" s="1"/>
  <c r="H434" i="1" s="1"/>
  <c r="I575" i="1"/>
  <c r="G786" i="1"/>
  <c r="G785" i="1" s="1"/>
  <c r="G784" i="1" s="1"/>
  <c r="D14" i="3" s="1"/>
  <c r="F124" i="2"/>
  <c r="H528" i="1"/>
  <c r="H527" i="1" s="1"/>
  <c r="G175" i="2"/>
  <c r="I175" i="2" s="1"/>
  <c r="G254" i="2"/>
  <c r="G111" i="2"/>
  <c r="G124" i="2"/>
  <c r="F209" i="2"/>
  <c r="F208" i="2" s="1"/>
  <c r="H121" i="1"/>
  <c r="I613" i="1"/>
  <c r="H474" i="1"/>
  <c r="H473" i="1" s="1"/>
  <c r="H472" i="1" s="1"/>
  <c r="E45" i="3"/>
  <c r="I682" i="1"/>
  <c r="G54" i="2"/>
  <c r="F254" i="2"/>
  <c r="H101" i="2"/>
  <c r="H124" i="2"/>
  <c r="I124" i="2" s="1"/>
  <c r="E58" i="3"/>
  <c r="I412" i="1"/>
  <c r="G65" i="1"/>
  <c r="I439" i="1"/>
  <c r="H613" i="1"/>
  <c r="H612" i="1" s="1"/>
  <c r="H611" i="1" s="1"/>
  <c r="G528" i="1"/>
  <c r="G527" i="1" s="1"/>
  <c r="D42" i="3" s="1"/>
  <c r="H649" i="1"/>
  <c r="H682" i="1"/>
  <c r="H681" i="1" s="1"/>
  <c r="H375" i="1"/>
  <c r="H374" i="1" s="1"/>
  <c r="H366" i="1" s="1"/>
  <c r="E53" i="3" s="1"/>
  <c r="F54" i="2"/>
  <c r="G366" i="1"/>
  <c r="D53" i="3" s="1"/>
  <c r="E17" i="3"/>
  <c r="G783" i="1"/>
  <c r="G782" i="1" s="1"/>
  <c r="G680" i="1"/>
  <c r="G632" i="1"/>
  <c r="D55" i="3"/>
  <c r="D54" i="3" s="1"/>
  <c r="G741" i="1"/>
  <c r="E22" i="3"/>
  <c r="E21" i="3" s="1"/>
  <c r="H51" i="1"/>
  <c r="E35" i="3"/>
  <c r="E41" i="3"/>
  <c r="G14" i="1"/>
  <c r="D17" i="3"/>
  <c r="D22" i="3"/>
  <c r="D21" i="3" s="1"/>
  <c r="G51" i="1"/>
  <c r="G82" i="1"/>
  <c r="E26" i="3"/>
  <c r="I438" i="1" l="1"/>
  <c r="P439" i="1"/>
  <c r="H648" i="1"/>
  <c r="P649" i="1"/>
  <c r="P575" i="1"/>
  <c r="I298" i="1"/>
  <c r="P299" i="1"/>
  <c r="I116" i="1"/>
  <c r="P117" i="1"/>
  <c r="I304" i="1"/>
  <c r="P305" i="1"/>
  <c r="I60" i="1"/>
  <c r="P61" i="1"/>
  <c r="I633" i="1"/>
  <c r="I374" i="1"/>
  <c r="P374" i="1" s="1"/>
  <c r="P375" i="1"/>
  <c r="I262" i="1"/>
  <c r="P263" i="1"/>
  <c r="I592" i="1"/>
  <c r="P593" i="1"/>
  <c r="I314" i="1"/>
  <c r="P315" i="1"/>
  <c r="I355" i="1"/>
  <c r="P356" i="1"/>
  <c r="P614" i="1"/>
  <c r="P744" i="1"/>
  <c r="I743" i="1"/>
  <c r="H88" i="2"/>
  <c r="I88" i="2" s="1"/>
  <c r="H37" i="2"/>
  <c r="I39" i="2"/>
  <c r="I51" i="2"/>
  <c r="G37" i="2"/>
  <c r="G16" i="2" s="1"/>
  <c r="I155" i="1"/>
  <c r="P156" i="1"/>
  <c r="I475" i="1"/>
  <c r="P476" i="1"/>
  <c r="I612" i="1"/>
  <c r="P613" i="1"/>
  <c r="P106" i="1"/>
  <c r="I105" i="1"/>
  <c r="I571" i="1"/>
  <c r="P571" i="1" s="1"/>
  <c r="P572" i="1"/>
  <c r="I387" i="1"/>
  <c r="P388" i="1"/>
  <c r="P78" i="1"/>
  <c r="I73" i="1"/>
  <c r="I37" i="1"/>
  <c r="P37" i="1" s="1"/>
  <c r="P38" i="1"/>
  <c r="I208" i="1"/>
  <c r="P209" i="1"/>
  <c r="H63" i="2"/>
  <c r="I63" i="2" s="1"/>
  <c r="I723" i="1"/>
  <c r="P724" i="1"/>
  <c r="P142" i="1"/>
  <c r="I256" i="1"/>
  <c r="P257" i="1"/>
  <c r="I348" i="1"/>
  <c r="P348" i="1" s="1"/>
  <c r="P349" i="1"/>
  <c r="P52" i="1"/>
  <c r="I51" i="1"/>
  <c r="P51" i="1" s="1"/>
  <c r="F22" i="3"/>
  <c r="F21" i="3" s="1"/>
  <c r="I754" i="1"/>
  <c r="P755" i="1"/>
  <c r="I333" i="1"/>
  <c r="P333" i="1" s="1"/>
  <c r="P334" i="1"/>
  <c r="I236" i="1"/>
  <c r="P236" i="1" s="1"/>
  <c r="P237" i="1"/>
  <c r="I361" i="1"/>
  <c r="P362" i="1"/>
  <c r="I167" i="1"/>
  <c r="P168" i="1"/>
  <c r="I340" i="1"/>
  <c r="P341" i="1"/>
  <c r="I367" i="1"/>
  <c r="P368" i="1"/>
  <c r="P529" i="1"/>
  <c r="I528" i="1"/>
  <c r="I67" i="1"/>
  <c r="P68" i="1"/>
  <c r="I196" i="1"/>
  <c r="P197" i="1"/>
  <c r="I137" i="1"/>
  <c r="P137" i="1" s="1"/>
  <c r="P138" i="1"/>
  <c r="H82" i="2"/>
  <c r="I84" i="2"/>
  <c r="I767" i="1"/>
  <c r="P768" i="1"/>
  <c r="I325" i="1"/>
  <c r="P326" i="1"/>
  <c r="I681" i="1"/>
  <c r="P682" i="1"/>
  <c r="I411" i="1"/>
  <c r="P412" i="1"/>
  <c r="I655" i="1"/>
  <c r="P656" i="1"/>
  <c r="I274" i="1"/>
  <c r="P275" i="1"/>
  <c r="I82" i="2"/>
  <c r="H151" i="2"/>
  <c r="I152" i="2"/>
  <c r="I263" i="2"/>
  <c r="H258" i="2"/>
  <c r="I465" i="1"/>
  <c r="P466" i="1"/>
  <c r="I785" i="1"/>
  <c r="P786" i="1"/>
  <c r="I244" i="1"/>
  <c r="P245" i="1"/>
  <c r="I122" i="1"/>
  <c r="P123" i="1"/>
  <c r="I132" i="1"/>
  <c r="P132" i="1" s="1"/>
  <c r="P133" i="1"/>
  <c r="H55" i="2"/>
  <c r="I58" i="2"/>
  <c r="I83" i="1"/>
  <c r="P84" i="1"/>
  <c r="I503" i="1"/>
  <c r="P504" i="1"/>
  <c r="I16" i="1"/>
  <c r="P17" i="1"/>
  <c r="I92" i="1"/>
  <c r="P93" i="1"/>
  <c r="I624" i="1"/>
  <c r="P625" i="1"/>
  <c r="H100" i="2"/>
  <c r="I100" i="2" s="1"/>
  <c r="I101" i="2"/>
  <c r="I111" i="2"/>
  <c r="G21" i="3"/>
  <c r="G22" i="3"/>
  <c r="G288" i="2"/>
  <c r="G253" i="1"/>
  <c r="D30" i="3"/>
  <c r="D26" i="3" s="1"/>
  <c r="H253" i="1"/>
  <c r="D33" i="3"/>
  <c r="G611" i="1"/>
  <c r="D51" i="3"/>
  <c r="D49" i="3" s="1"/>
  <c r="G154" i="1"/>
  <c r="E20" i="3"/>
  <c r="E12" i="3" s="1"/>
  <c r="G502" i="1"/>
  <c r="F288" i="2"/>
  <c r="E51" i="3"/>
  <c r="E49" i="3" s="1"/>
  <c r="D40" i="3"/>
  <c r="H680" i="1"/>
  <c r="E47" i="3"/>
  <c r="E46" i="3" s="1"/>
  <c r="E42" i="3"/>
  <c r="H502" i="1"/>
  <c r="H501" i="1" s="1"/>
  <c r="H347" i="1"/>
  <c r="H153" i="1" s="1"/>
  <c r="E33" i="3"/>
  <c r="H13" i="1"/>
  <c r="G347" i="1"/>
  <c r="D20" i="3"/>
  <c r="D12" i="3" s="1"/>
  <c r="D61" i="3" s="1"/>
  <c r="G13" i="1"/>
  <c r="G631" i="1"/>
  <c r="P274" i="1" l="1"/>
  <c r="F47" i="3"/>
  <c r="P681" i="1"/>
  <c r="I766" i="1"/>
  <c r="P767" i="1"/>
  <c r="I66" i="1"/>
  <c r="P67" i="1"/>
  <c r="P367" i="1"/>
  <c r="I366" i="1"/>
  <c r="F15" i="3"/>
  <c r="G15" i="3" s="1"/>
  <c r="P167" i="1"/>
  <c r="I753" i="1"/>
  <c r="P754" i="1"/>
  <c r="I207" i="1"/>
  <c r="P208" i="1"/>
  <c r="P612" i="1"/>
  <c r="I623" i="1"/>
  <c r="P624" i="1"/>
  <c r="I15" i="1"/>
  <c r="P16" i="1"/>
  <c r="P83" i="1"/>
  <c r="F34" i="3"/>
  <c r="G34" i="3" s="1"/>
  <c r="I243" i="1"/>
  <c r="P243" i="1" s="1"/>
  <c r="P244" i="1"/>
  <c r="I464" i="1"/>
  <c r="P465" i="1"/>
  <c r="I151" i="2"/>
  <c r="H147" i="2"/>
  <c r="I147" i="2" s="1"/>
  <c r="P528" i="1"/>
  <c r="I527" i="1"/>
  <c r="I255" i="1"/>
  <c r="P256" i="1"/>
  <c r="I722" i="1"/>
  <c r="P723" i="1"/>
  <c r="I104" i="1"/>
  <c r="P105" i="1"/>
  <c r="P155" i="1"/>
  <c r="F13" i="3"/>
  <c r="G13" i="3" s="1"/>
  <c r="H16" i="2"/>
  <c r="I37" i="2"/>
  <c r="I313" i="1"/>
  <c r="P313" i="1" s="1"/>
  <c r="P314" i="1"/>
  <c r="F35" i="3"/>
  <c r="F29" i="3"/>
  <c r="G29" i="3" s="1"/>
  <c r="P262" i="1"/>
  <c r="P304" i="1"/>
  <c r="I303" i="1"/>
  <c r="I297" i="1"/>
  <c r="P297" i="1" s="1"/>
  <c r="P298" i="1"/>
  <c r="H635" i="1"/>
  <c r="P648" i="1"/>
  <c r="H254" i="2"/>
  <c r="I254" i="2" s="1"/>
  <c r="I258" i="2"/>
  <c r="I654" i="1"/>
  <c r="P655" i="1"/>
  <c r="I410" i="1"/>
  <c r="P411" i="1"/>
  <c r="I324" i="1"/>
  <c r="P325" i="1"/>
  <c r="I195" i="1"/>
  <c r="P196" i="1"/>
  <c r="I339" i="1"/>
  <c r="P340" i="1"/>
  <c r="I360" i="1"/>
  <c r="P360" i="1" s="1"/>
  <c r="P361" i="1"/>
  <c r="I386" i="1"/>
  <c r="P387" i="1"/>
  <c r="P92" i="1"/>
  <c r="F36" i="3"/>
  <c r="G36" i="3" s="1"/>
  <c r="I82" i="1"/>
  <c r="P82" i="1" s="1"/>
  <c r="P503" i="1"/>
  <c r="F41" i="3"/>
  <c r="G41" i="3" s="1"/>
  <c r="H54" i="2"/>
  <c r="I54" i="2" s="1"/>
  <c r="I55" i="2"/>
  <c r="F59" i="3"/>
  <c r="P122" i="1"/>
  <c r="I784" i="1"/>
  <c r="P785" i="1"/>
  <c r="I131" i="1"/>
  <c r="I72" i="1"/>
  <c r="P72" i="1" s="1"/>
  <c r="P73" i="1"/>
  <c r="I474" i="1"/>
  <c r="P475" i="1"/>
  <c r="I742" i="1"/>
  <c r="P743" i="1"/>
  <c r="I354" i="1"/>
  <c r="P355" i="1"/>
  <c r="I591" i="1"/>
  <c r="P592" i="1"/>
  <c r="I59" i="1"/>
  <c r="P60" i="1"/>
  <c r="I115" i="1"/>
  <c r="P116" i="1"/>
  <c r="I570" i="1"/>
  <c r="I437" i="1"/>
  <c r="P438" i="1"/>
  <c r="G47" i="3"/>
  <c r="G501" i="1"/>
  <c r="G809" i="1" s="1"/>
  <c r="F290" i="2" s="1"/>
  <c r="G153" i="1"/>
  <c r="I436" i="1" l="1"/>
  <c r="P437" i="1"/>
  <c r="P131" i="1"/>
  <c r="F60" i="3"/>
  <c r="G60" i="3" s="1"/>
  <c r="F18" i="3"/>
  <c r="G18" i="3" s="1"/>
  <c r="P195" i="1"/>
  <c r="I409" i="1"/>
  <c r="P410" i="1"/>
  <c r="P527" i="1"/>
  <c r="F42" i="3"/>
  <c r="I569" i="1"/>
  <c r="P570" i="1"/>
  <c r="I58" i="1"/>
  <c r="P59" i="1"/>
  <c r="P354" i="1"/>
  <c r="I347" i="1"/>
  <c r="P347" i="1" s="1"/>
  <c r="I473" i="1"/>
  <c r="P474" i="1"/>
  <c r="G59" i="3"/>
  <c r="F58" i="3"/>
  <c r="G58" i="3" s="1"/>
  <c r="F32" i="3"/>
  <c r="G32" i="3" s="1"/>
  <c r="P303" i="1"/>
  <c r="F48" i="3"/>
  <c r="G48" i="3" s="1"/>
  <c r="P722" i="1"/>
  <c r="I680" i="1"/>
  <c r="I463" i="1"/>
  <c r="P464" i="1"/>
  <c r="F52" i="3"/>
  <c r="G52" i="3" s="1"/>
  <c r="P623" i="1"/>
  <c r="I611" i="1"/>
  <c r="P611" i="1" s="1"/>
  <c r="P207" i="1"/>
  <c r="F20" i="3"/>
  <c r="G20" i="3" s="1"/>
  <c r="P66" i="1"/>
  <c r="F27" i="3"/>
  <c r="I65" i="1"/>
  <c r="P65" i="1" s="1"/>
  <c r="F46" i="3"/>
  <c r="G46" i="3" s="1"/>
  <c r="I783" i="1"/>
  <c r="P784" i="1"/>
  <c r="F14" i="3"/>
  <c r="P386" i="1"/>
  <c r="F24" i="3"/>
  <c r="I385" i="1"/>
  <c r="I332" i="1"/>
  <c r="P332" i="1" s="1"/>
  <c r="P339" i="1"/>
  <c r="P324" i="1"/>
  <c r="I323" i="1"/>
  <c r="P323" i="1" s="1"/>
  <c r="F39" i="3"/>
  <c r="I632" i="1"/>
  <c r="P654" i="1"/>
  <c r="F44" i="3"/>
  <c r="G44" i="3" s="1"/>
  <c r="H634" i="1"/>
  <c r="P635" i="1"/>
  <c r="G35" i="3"/>
  <c r="I16" i="2"/>
  <c r="H288" i="2"/>
  <c r="I288" i="2" s="1"/>
  <c r="F53" i="3"/>
  <c r="G53" i="3" s="1"/>
  <c r="P366" i="1"/>
  <c r="P115" i="1"/>
  <c r="I114" i="1"/>
  <c r="P114" i="1" s="1"/>
  <c r="F57" i="3"/>
  <c r="F45" i="3"/>
  <c r="G45" i="3" s="1"/>
  <c r="P591" i="1"/>
  <c r="P742" i="1"/>
  <c r="I741" i="1"/>
  <c r="P741" i="1" s="1"/>
  <c r="F55" i="3"/>
  <c r="I121" i="1"/>
  <c r="P121" i="1" s="1"/>
  <c r="I154" i="1"/>
  <c r="P154" i="1" s="1"/>
  <c r="F37" i="3"/>
  <c r="G37" i="3" s="1"/>
  <c r="P104" i="1"/>
  <c r="I254" i="1"/>
  <c r="P255" i="1"/>
  <c r="F17" i="3"/>
  <c r="G17" i="3" s="1"/>
  <c r="P15" i="1"/>
  <c r="I14" i="1"/>
  <c r="F51" i="3"/>
  <c r="I752" i="1"/>
  <c r="P752" i="1" s="1"/>
  <c r="P753" i="1"/>
  <c r="I765" i="1"/>
  <c r="P766" i="1"/>
  <c r="F30" i="3"/>
  <c r="G30" i="3" s="1"/>
  <c r="D63" i="3"/>
  <c r="F49" i="3" l="1"/>
  <c r="G49" i="3" s="1"/>
  <c r="G51" i="3"/>
  <c r="I764" i="1"/>
  <c r="P764" i="1" s="1"/>
  <c r="P765" i="1"/>
  <c r="P14" i="1"/>
  <c r="I13" i="1"/>
  <c r="P254" i="1"/>
  <c r="F28" i="3"/>
  <c r="G28" i="3" s="1"/>
  <c r="I253" i="1"/>
  <c r="H633" i="1"/>
  <c r="P634" i="1"/>
  <c r="F38" i="3"/>
  <c r="G38" i="3" s="1"/>
  <c r="G39" i="3"/>
  <c r="G14" i="3"/>
  <c r="F12" i="3"/>
  <c r="F43" i="3"/>
  <c r="P569" i="1"/>
  <c r="F54" i="3"/>
  <c r="G54" i="3" s="1"/>
  <c r="G55" i="3"/>
  <c r="F33" i="3"/>
  <c r="G33" i="3" s="1"/>
  <c r="I384" i="1"/>
  <c r="P384" i="1" s="1"/>
  <c r="P385" i="1"/>
  <c r="G27" i="3"/>
  <c r="F26" i="3"/>
  <c r="G26" i="3" s="1"/>
  <c r="I462" i="1"/>
  <c r="P462" i="1" s="1"/>
  <c r="P463" i="1"/>
  <c r="F40" i="3"/>
  <c r="G42" i="3"/>
  <c r="I408" i="1"/>
  <c r="P408" i="1" s="1"/>
  <c r="P409" i="1"/>
  <c r="F56" i="3"/>
  <c r="G56" i="3" s="1"/>
  <c r="G57" i="3"/>
  <c r="G24" i="3"/>
  <c r="I782" i="1"/>
  <c r="P782" i="1" s="1"/>
  <c r="P783" i="1"/>
  <c r="I631" i="1"/>
  <c r="P680" i="1"/>
  <c r="I472" i="1"/>
  <c r="P472" i="1" s="1"/>
  <c r="P473" i="1"/>
  <c r="F25" i="3"/>
  <c r="G25" i="3" s="1"/>
  <c r="P58" i="1"/>
  <c r="I502" i="1"/>
  <c r="I435" i="1"/>
  <c r="P436" i="1"/>
  <c r="G12" i="3" l="1"/>
  <c r="I501" i="1"/>
  <c r="P501" i="1" s="1"/>
  <c r="P502" i="1"/>
  <c r="H632" i="1"/>
  <c r="E43" i="3"/>
  <c r="P633" i="1"/>
  <c r="P13" i="1"/>
  <c r="I434" i="1"/>
  <c r="P434" i="1" s="1"/>
  <c r="P435" i="1"/>
  <c r="F23" i="3"/>
  <c r="G23" i="3" s="1"/>
  <c r="I153" i="1"/>
  <c r="P153" i="1" s="1"/>
  <c r="P253" i="1"/>
  <c r="F61" i="3" l="1"/>
  <c r="H631" i="1"/>
  <c r="P632" i="1"/>
  <c r="G43" i="3"/>
  <c r="E40" i="3"/>
  <c r="I809" i="1"/>
  <c r="H290" i="2" l="1"/>
  <c r="H809" i="1"/>
  <c r="G290" i="2" s="1"/>
  <c r="P631" i="1"/>
  <c r="E61" i="3"/>
  <c r="G40" i="3"/>
  <c r="G61" i="3"/>
  <c r="F63" i="3"/>
  <c r="E63" i="3" l="1"/>
  <c r="P809" i="1"/>
</calcChain>
</file>

<file path=xl/comments1.xml><?xml version="1.0" encoding="utf-8"?>
<comments xmlns="http://schemas.openxmlformats.org/spreadsheetml/2006/main">
  <authors>
    <author>Автор</author>
  </authors>
  <commentList>
    <comment ref="L441" authorId="0">
      <text>
        <r>
          <rPr>
            <b/>
            <sz val="9"/>
            <color indexed="81"/>
            <rFont val="Tahoma"/>
            <family val="2"/>
            <charset val="204"/>
          </rPr>
          <t>Автор:</t>
        </r>
        <r>
          <rPr>
            <sz val="9"/>
            <color indexed="81"/>
            <rFont val="Tahoma"/>
            <family val="2"/>
            <charset val="204"/>
          </rPr>
          <t xml:space="preserve">
льготный</t>
        </r>
      </text>
    </comment>
    <comment ref="M568" authorId="0">
      <text>
        <r>
          <rPr>
            <b/>
            <sz val="9"/>
            <color indexed="81"/>
            <rFont val="Tahoma"/>
            <family val="2"/>
            <charset val="204"/>
          </rPr>
          <t>Автор:</t>
        </r>
        <r>
          <rPr>
            <sz val="9"/>
            <color indexed="81"/>
            <rFont val="Tahoma"/>
            <family val="2"/>
            <charset val="204"/>
          </rPr>
          <t xml:space="preserve">
соф 2020</t>
        </r>
      </text>
    </comment>
  </commentList>
</comments>
</file>

<file path=xl/sharedStrings.xml><?xml version="1.0" encoding="utf-8"?>
<sst xmlns="http://schemas.openxmlformats.org/spreadsheetml/2006/main" count="3349" uniqueCount="588">
  <si>
    <t>(тыс. рублей)</t>
  </si>
  <si>
    <t>№ строки</t>
  </si>
  <si>
    <t>Наименование главных распорядителей и наименование показателей бюджетной классификации</t>
  </si>
  <si>
    <t>Код ведомства</t>
  </si>
  <si>
    <t>Раздел-подраздел</t>
  </si>
  <si>
    <t>Целевая статья</t>
  </si>
  <si>
    <t>Вид расходов</t>
  </si>
  <si>
    <t>1</t>
  </si>
  <si>
    <t>2</t>
  </si>
  <si>
    <t>3</t>
  </si>
  <si>
    <t>4</t>
  </si>
  <si>
    <t>5</t>
  </si>
  <si>
    <t>6</t>
  </si>
  <si>
    <t>Обеспечение деятельности финансовых, налоговых и таможенных органов и органов финансового (финансово-бюджетного) надзора</t>
  </si>
  <si>
    <t xml:space="preserve">Муниципальная программа Мотыгинского района "Управление муниципальными финансами" </t>
  </si>
  <si>
    <t>Подпрограмма "Обеспечение реализации муниципальной программы и прочие мероприятия"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</si>
  <si>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</si>
  <si>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</si>
  <si>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</si>
  <si>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</si>
  <si>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Субвенции</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</si>
  <si>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</si>
  <si>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</si>
  <si>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Мобилизационная и вневойсковая подготовка</t>
  </si>
  <si>
    <t>Непрограммные расходы отдельных органов исполнительной власти</t>
  </si>
  <si>
    <t>Общеэкономические вопросы</t>
  </si>
  <si>
    <t>Иные межбюджетные трансферты</t>
  </si>
  <si>
    <t>Дотации на выравнивание бюджетной обеспеченности субъектов Российской Федерации и муниципальных образований</t>
  </si>
  <si>
    <t>Подпрограмма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t>
  </si>
  <si>
    <t>Дотации</t>
  </si>
  <si>
    <t>Прочие межбюджетные трансферты общего характера</t>
  </si>
  <si>
    <t>Субвенция на выполнение государственных полномочий по созданию и обеспечению деятельности комиссий по делам несовершеннолетних и защите их прав</t>
  </si>
  <si>
    <t>Резервные фонды</t>
  </si>
  <si>
    <t>Иные бюджетные ассигнования</t>
  </si>
  <si>
    <t>Резервные средства</t>
  </si>
  <si>
    <t>Резервный фонд администрации</t>
  </si>
  <si>
    <t>Другие общегосударственные вопросы</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</si>
  <si>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</si>
  <si>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 исполнительные листы)</t>
  </si>
  <si>
    <t>Исполнение судебных актов</t>
  </si>
  <si>
    <t>Отдельное мероприятие программы</t>
  </si>
  <si>
    <t>Транспорт</t>
  </si>
  <si>
    <t>Сельское хозяйство и рыболовство</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</si>
  <si>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t>
  </si>
  <si>
    <t>Муниципальная программа "Развитие транспортной системы в Мотыгинском районе"</t>
  </si>
  <si>
    <t>Предоставление субсидии   на компенсацию расходов возникающих в результате небольшой интенсивности пассажирских потоков, юридическим лицам независимо от организационно-правовой формы, индивидуальным предпринимателям, осуществляющим регулярные пассажирские перевозки по муниципальным маршрутам  в рамках подпрограммы "Развитие воздушного и автомобильного пассажирского транспорта."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</si>
  <si>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</si>
  <si>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Дорожное хозяйство</t>
  </si>
  <si>
    <t>Подпрограмма "Безопасность дорожного движения в Мотыгинском районе"</t>
  </si>
  <si>
    <t>Другие вопросы в области национальной экономики</t>
  </si>
  <si>
    <t>Оказание финансовой поддержки субъектам малого и среднего предпринимательства</t>
  </si>
  <si>
    <t>Предоставление субсидий бюджетным, автономным учреждениям и иным некоммерческим организациям</t>
  </si>
  <si>
    <t xml:space="preserve">Субвенции бюджетам муниципальных образований на выполнение государственных полномочий по организации проведения мероприятий по отлову и содержанию безнадзорных животных </t>
  </si>
  <si>
    <t xml:space="preserve">Коммунальное хозяйство </t>
  </si>
  <si>
    <t>Муниципальная программа "Реформирование и модернизация жилищно-коммунального хозяйства и повышения энергетической эффективности"</t>
  </si>
  <si>
    <t>Другие вопросы в области образования</t>
  </si>
  <si>
    <t>Муниципальная  программа Мотыгинского района «Развитие общего и дополнительного образования в Мотыгинском районе »</t>
  </si>
  <si>
    <t>Подпрограмма «Обеспечение реализации муниципальной программы"</t>
  </si>
  <si>
    <t>0 340000000</t>
  </si>
  <si>
    <t>Муниципальная программа " Обеспечение доступным и комфортным жильем в Мотыгинском районе "</t>
  </si>
  <si>
    <t>Охрана семьи и детства</t>
  </si>
  <si>
    <t xml:space="preserve">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t>
  </si>
  <si>
    <t xml:space="preserve">Другие общегосударственные вопросы </t>
  </si>
  <si>
    <t>Подпрограмма "Развитие архивного дела в Мотыгинском районе"</t>
  </si>
  <si>
    <t>Обеспечение деятельности архивного фонда в Мотыгинском районе</t>
  </si>
  <si>
    <t>Расходы на выплаты персоналу казенных учреждений</t>
  </si>
  <si>
    <t>Субвенции бюджетам муниципальных образований на осуществление государственных полномочий в области архивного дела</t>
  </si>
  <si>
    <t>Общее образование</t>
  </si>
  <si>
    <t>Подпрограмма "Обеспечение условий реализации муниципальной программы и прочие мероприятия"</t>
  </si>
  <si>
    <t>Субсидии бюджетным учреждениям</t>
  </si>
  <si>
    <t>Культура</t>
  </si>
  <si>
    <t>Подпрограмма "Культурное наследие"</t>
  </si>
  <si>
    <t>Подпрограмма "Искусство и народное творчество"</t>
  </si>
  <si>
    <t>Молодежная политика и оздоровление детей</t>
  </si>
  <si>
    <t>Муниципальная программа "Молодежь Мотыгинского района в ХХ1 веке"</t>
  </si>
  <si>
    <t>Другие вопросы в области культуры, кинематографии</t>
  </si>
  <si>
    <t>Защита населения и территории от чрезвычайных ситуаций природного и техногенного характера, гражданская оборона</t>
  </si>
  <si>
    <t xml:space="preserve">Руководство и управление в сфере установленных функций органов исполнительной власти </t>
  </si>
  <si>
    <t>Пенсионное обеспечение</t>
  </si>
  <si>
    <t>Социальное обеспечение и иные выплаты населению</t>
  </si>
  <si>
    <t>Социальное обеспечение населения</t>
  </si>
  <si>
    <t>Другие вопросы в области социальной политики</t>
  </si>
  <si>
    <t>Уплата налогов, сборов и иных платежей</t>
  </si>
  <si>
    <t>Социальные выплаты гражданам, кроме публичных нормативных социальных выплат</t>
  </si>
  <si>
    <t>Всего</t>
  </si>
  <si>
    <t>Раздел, подраздел</t>
  </si>
  <si>
    <t>Наименование показателя бюджетной классификации</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</si>
  <si>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</si>
  <si>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</si>
  <si>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</si>
  <si>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</si>
  <si>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</si>
  <si>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</si>
  <si>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0104</t>
  </si>
  <si>
    <t>0106</t>
  </si>
  <si>
    <t>0111</t>
  </si>
  <si>
    <t>0113</t>
  </si>
  <si>
    <t>НАЦИОНАЛЬНАЯ ОБОРОНА</t>
  </si>
  <si>
    <t>0200</t>
  </si>
  <si>
    <t>0203</t>
  </si>
  <si>
    <t>НАЦИОНАЛЬНАЯ БЕЗОПАСНОСТЬ И ПРАВООХРАНИТЕЛЬНАЯ ДЕЯТЕЛЬНОСТЬ</t>
  </si>
  <si>
    <t>0300</t>
  </si>
  <si>
    <t>0309</t>
  </si>
  <si>
    <t>НАЦИОНАЛЬНАЯ ЭКОНОМИКА</t>
  </si>
  <si>
    <t>0400</t>
  </si>
  <si>
    <t xml:space="preserve"> Общеэкономические вопросы</t>
  </si>
  <si>
    <t>0401</t>
  </si>
  <si>
    <t>0405</t>
  </si>
  <si>
    <t>0408</t>
  </si>
  <si>
    <t>Дорожное хозяйство (дорожные фонды)</t>
  </si>
  <si>
    <t>0409</t>
  </si>
  <si>
    <t>0412</t>
  </si>
  <si>
    <t>ЖИЛИЩНО-КОММУНАЛЬНОЕ ХОЗЯЙСТВО</t>
  </si>
  <si>
    <t>0500</t>
  </si>
  <si>
    <t>Коммунальное хозяйство</t>
  </si>
  <si>
    <t>0502</t>
  </si>
  <si>
    <t>ОБРАЗОВАНИЕ</t>
  </si>
  <si>
    <t>0700</t>
  </si>
  <si>
    <t>Дошкольное образование</t>
  </si>
  <si>
    <t>0701</t>
  </si>
  <si>
    <t>0702</t>
  </si>
  <si>
    <t>0707</t>
  </si>
  <si>
    <t>0709</t>
  </si>
  <si>
    <t>КУЛЬТУРА, КИНЕМАТОГРАФИЯ</t>
  </si>
  <si>
    <t>0800</t>
  </si>
  <si>
    <t>0801</t>
  </si>
  <si>
    <t>0804</t>
  </si>
  <si>
    <t>СОЦИАЛЬНАЯ ПОЛИТИКА</t>
  </si>
  <si>
    <t>1000</t>
  </si>
  <si>
    <t>1001</t>
  </si>
  <si>
    <t>1003</t>
  </si>
  <si>
    <t>1006</t>
  </si>
  <si>
    <t>1400</t>
  </si>
  <si>
    <t>1401</t>
  </si>
  <si>
    <t>1403</t>
  </si>
  <si>
    <t>ВСЕГО</t>
  </si>
  <si>
    <t/>
  </si>
  <si>
    <t>Подпрограмма "Развитие дошкольного образования"</t>
  </si>
  <si>
    <t>Подпрограмма «Развитие  общего образования»</t>
  </si>
  <si>
    <t>Подпрограмма «Развитие дополнительного образования детей»</t>
  </si>
  <si>
    <t xml:space="preserve">Подпрограмма "Повышение устойчивости и перспективное развитие коммунальной инфраструктуры Мотыгинского района" </t>
  </si>
  <si>
    <t>Отдельные мероприятия программы</t>
  </si>
  <si>
    <t>Подпрограмма "Безопасность дорожного движения в Мотыгинском районе "</t>
  </si>
  <si>
    <t>Подпрограмма "Переселение граждан из аварийного жилищного фонда в Мотыгинском районе"</t>
  </si>
  <si>
    <t>Подпрограмма "Обеспечение жильем молодых семей в Мотыгинском районе"</t>
  </si>
  <si>
    <t>Подпрограмма "Территориальное планирование, градостроительное зонирование и документация по планировке территории Мотыгинского района"</t>
  </si>
  <si>
    <t>Подпрограмма " Обеспечение работников органов местного самоуправления, муниципальных предприятий и учреждений Мотыгинского района служебным жильем за счет средств бюджета муниципального образования"</t>
  </si>
  <si>
    <t>Подпрограмма "Обеспечение жилыми помещениями детей-сирот и детей, оставшихся без попечения родителей, лиц из числа детей сирот и детей оставшихся без попечения родителей "</t>
  </si>
  <si>
    <t xml:space="preserve">Отдельные мероприятия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</si>
  <si>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</si>
  <si>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социальной выплаты участников подпрограммы</t>
  </si>
  <si>
    <t>Муниципальная программа Мотыгинского района "Защита населения и территорий Мотыгинского района от чрезвычайных ситуаций природного и техногенного характера"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</si>
  <si>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</si>
  <si>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Итого</t>
  </si>
  <si>
    <t>Приложение № 5</t>
  </si>
  <si>
    <t>к решению Мотыгинского районного</t>
  </si>
  <si>
    <t>от _____________ № ______________</t>
  </si>
  <si>
    <t>от _____________ № ____________</t>
  </si>
  <si>
    <t>099</t>
  </si>
  <si>
    <t>Подпрограмма "Обеспечение жилыми помещениями детей-сирот и детей, оставшихся без попечения родителей, лиц из числа детей сирот и детей оставшихся без попечения родителей"</t>
  </si>
  <si>
    <t>Капитальные вложения в объекты недвижимого имущества государственной (муниципальной) собственности</t>
  </si>
  <si>
    <t>Бюджетные инвестиции</t>
  </si>
  <si>
    <t>Судебная система</t>
  </si>
  <si>
    <t>Дополнительное образование</t>
  </si>
  <si>
    <t>094</t>
  </si>
  <si>
    <t>0105</t>
  </si>
  <si>
    <t>Дополнительное образование детей</t>
  </si>
  <si>
    <t>Молодежная политика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</si>
  <si>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</si>
  <si>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t>
  </si>
  <si>
    <t>951</t>
  </si>
  <si>
    <t>1004</t>
  </si>
  <si>
    <t>0703</t>
  </si>
  <si>
    <t>0500000000</t>
  </si>
  <si>
    <t>0520000000</t>
  </si>
  <si>
    <t>0520000210</t>
  </si>
  <si>
    <t>0700000000</t>
  </si>
  <si>
    <t>0710000000</t>
  </si>
  <si>
    <t>0730000000</t>
  </si>
  <si>
    <t>0510000000</t>
  </si>
  <si>
    <t>0510076010</t>
  </si>
  <si>
    <t>0510050010</t>
  </si>
  <si>
    <t>0510050030</t>
  </si>
  <si>
    <t>0600000000</t>
  </si>
  <si>
    <t>0610000000</t>
  </si>
  <si>
    <t>0900000000</t>
  </si>
  <si>
    <t>0790000000</t>
  </si>
  <si>
    <t>0790075770</t>
  </si>
  <si>
    <t>0790075700</t>
  </si>
  <si>
    <t>0300000000</t>
  </si>
  <si>
    <t>0340000000</t>
  </si>
  <si>
    <t>0340075520</t>
  </si>
  <si>
    <t>0800000000</t>
  </si>
  <si>
    <t>0810000000</t>
  </si>
  <si>
    <t>0200000000</t>
  </si>
  <si>
    <t>0220000000</t>
  </si>
  <si>
    <t>0220000610</t>
  </si>
  <si>
    <t>0220075190</t>
  </si>
  <si>
    <t>0620000000</t>
  </si>
  <si>
    <t>0310000000</t>
  </si>
  <si>
    <t>0310000610</t>
  </si>
  <si>
    <t>0310074080</t>
  </si>
  <si>
    <t>0310075880</t>
  </si>
  <si>
    <t>0310075540</t>
  </si>
  <si>
    <t>0320000000</t>
  </si>
  <si>
    <t>0320000610</t>
  </si>
  <si>
    <t>0320074090</t>
  </si>
  <si>
    <t>0320075640</t>
  </si>
  <si>
    <t>0330000000</t>
  </si>
  <si>
    <t>0330000660</t>
  </si>
  <si>
    <t>0340000610</t>
  </si>
  <si>
    <t>0340075560</t>
  </si>
  <si>
    <t>0320075660</t>
  </si>
  <si>
    <t>0240000000</t>
  </si>
  <si>
    <t>0240000610</t>
  </si>
  <si>
    <t>0400000000</t>
  </si>
  <si>
    <t>0420000000</t>
  </si>
  <si>
    <t>0210000000</t>
  </si>
  <si>
    <t>0210000610</t>
  </si>
  <si>
    <t>0210000630</t>
  </si>
  <si>
    <t>0230000000</t>
  </si>
  <si>
    <t>0230000640</t>
  </si>
  <si>
    <t>0230000650</t>
  </si>
  <si>
    <t>0230000660</t>
  </si>
  <si>
    <t xml:space="preserve">МУНИЦИПАЛЬНАЯ ПРОГРАММА МОТЫГИНСКОГО РАЙОНА "РАЗВИТИЕ КУЛЬТУРЫ И ТУРИЗМА" </t>
  </si>
  <si>
    <t>МУНИЦИПАЛЬНАЯ ПРОГРАММА МОТЫГИНСКОГО РАЙОНА «РАЗВИТИЕ ОБЩЕГО И ДОПОЛНИТЕЛЬНОГО ОБРАЗОВАНИЯ В МОТЫГИНСКОМ РАЙОНЕ »</t>
  </si>
  <si>
    <t>МУНИЦИПАЛЬНАЯ ПРОГРАММА "МОЛОДЕЖЬ МОТЫГИНСКОГО РАЙОНА В ХХ1 ВЕКЕ"</t>
  </si>
  <si>
    <t xml:space="preserve">МУНИЦИПАЛЬНАЯ ПРОГРАММА МОТЫГИНСКОГО РАЙОНА "УПРАВЛЕНИЕ МУНИЦИПАЛЬНЫМИ ФИНАНСАМИ" </t>
  </si>
  <si>
    <t>МУНИЦИПАЛЬНАЯ ПРОГРАММА "СОДЕЙСТВИЕ РАЗВИТИЮ МЕСТНОГО САМОУПРАВЛЕНИЯ"</t>
  </si>
  <si>
    <t>МУНИЦИПАЛЬНАЯ ПРОГРАММА "РЕФОРМИРОВАНИЕ И МОДЕРНИЗАЦИЯ ЖИЛИЩНО-КОММУНАЛЬНОГО ХОЗЯЙСТВА И ПОВЫШЕНИЯ ЭНЕРГЕТИЧЕСКОЙ ЭФФЕКТИВНОСТИ"</t>
  </si>
  <si>
    <t>МУНИЦИПАЛЬНАЯ ПРОГРАММА "ЗАЩИТА НАСЕЛЕНИЯ И ТЕРРИТОРИЙ МОТЫГИНСКОГО РАЙОНА ОТ ЧРЕЗВЫЧАЙНЫХ СИТУАЦИЙ ПРИРОДНОГО И ТЕХНОГЕННОГО ХАРАКТЕРА."</t>
  </si>
  <si>
    <t>МУНИЦИПАЛЬНАЯ ПРОГРАММА "РАЗВИТИЕ ТРАНСПОРТНОЙ СИСТЕМЫ В МОТЫГИНСКОМ РАЙОНЕ".</t>
  </si>
  <si>
    <t>МУНИЦИПАЛЬНАЯ ПРОГРАММА "ОБЕСПЕЧЕНИЕ ДОСТУПНЫМ И КОМФОРТНЫМ ЖИЛЬЕМ ЖИТЕЛЕЙ МОТЫГИНСКОГО РАЙОНА"</t>
  </si>
  <si>
    <t>НЕПРОГРАММНЫЕ РАСХОДЫ ОРГАНОВ ИСПОЛНИТЕЛЬНОЙ ВЛАСТИ</t>
  </si>
  <si>
    <t>ФИНАНСОВО-ЭКОНОМИЧЕСКОЕ УПРАВЛЕНИЕ АДМИНИСТРАЦИИ МОТЫГИНСКОГО РАЙОНА</t>
  </si>
  <si>
    <t xml:space="preserve">МЕЖБЮДЖЕТНЫЕ ТРАНСФЕРТЫ ОБЩЕГО ХАРАКТЕРА БЮДЖЕТАМ БЮДЖЕТНОЙ СИСТЕМЫ РОССИЙСКОЙ ФЕДЕРАЦИИ </t>
  </si>
  <si>
    <t>ПРОЧИЕ МЕЖБЮДЖЕТНЫЕ ТРАНСФЕРТЫ ОБЩЕГО ХАРАКТЕРА</t>
  </si>
  <si>
    <t>АДМИНИСТРАЦИЯ МОТЫГИНСКОГО РАЙОНА</t>
  </si>
  <si>
    <t>МУНИЦИПАЛЬНОЕ КАЗЁННОЕ УЧРЕЖДЕНИЕ "ЕДИНАЯ ДЕЖУРНО-ДИСПЕТЧЕРСКАЯ СЛУЖБА" МОТЫГИНСКОГО РАЙОНА</t>
  </si>
  <si>
    <t>МУНИЦИПАЛЬНОЕ КАЗЕННОЕ УЧРЕЖДЕНИЕ "МОТЫГИНСКИЙ РАЙОННЫЙ АРХИВ"</t>
  </si>
  <si>
    <t>МУНИЦИПАЛЬНОЕ КАЗЕННОЕ УЧРЕЖДЕНИЕ "ЦЕНТРАЛИЗОВАННАЯ БУХГАЛТЕРИЯ МУНИЦИПАЛЬНОГО ОБРАЗОВАНИЯ МОТЫГИНСКИЙ РАЙОН"</t>
  </si>
  <si>
    <t>МУНИЦИПАЛЬНОЕ КАЗЁННОЕ УЧРЕЖДЕНИЕ "УПРАВЛЕНИЕ ОБРАЗОВАНИЯ МОТЫГИНСКОГО РАЙОНА"</t>
  </si>
  <si>
    <t>МУНИЦИПАЛЬНОЕ КАЗЕННОЕ УЧРЕЖДЕНИЕ УПРАВЛЕНИЕ КУЛЬТУРЫ МОТЫГИНСКОГО РАЙОНА</t>
  </si>
  <si>
    <t>КОНТРОЛЬНО-СЧЕТНЫЙ ОРГАН МОТЫГИНСКОГО РАЙОНА</t>
  </si>
  <si>
    <t>МОТЫГИНСКИЙ РАЙОННЫЙ СОВЕТ ДЕПУТАТОВ</t>
  </si>
  <si>
    <t>Подпрограмма "Развитие внутреннего и въездного туризма"</t>
  </si>
  <si>
    <t>0250000000</t>
  </si>
  <si>
    <t>0410000000</t>
  </si>
  <si>
    <t>0430000000</t>
  </si>
  <si>
    <t>0720000000</t>
  </si>
  <si>
    <t>Реализация мероприятий на проведение и организацию акарицидных обработок мест массового отдыха населения</t>
  </si>
  <si>
    <t>0320076490</t>
  </si>
  <si>
    <t xml:space="preserve">Совета депутатов </t>
  </si>
  <si>
    <t>Совета депутатов</t>
  </si>
  <si>
    <t>МУНИЦИПАЛЬНАЯ ПРОГРАММА "РАЗВИТИЕ ФИЗИЧЕСКОЙ КУЛЬТУРЫ И СПОРТА НА ТЕРРИТОРИИ МОТЫГИНСКОГО РАЙОНА"</t>
  </si>
  <si>
    <t>Муниципальная программа "Обеспечение доступным и комфортным жильем жителей Мотыгинского района"</t>
  </si>
  <si>
    <t>Актуализация документов территориального планирования и градостроительного зонирования муниципальных образований Мотыгинского района</t>
  </si>
  <si>
    <t>Физическая культура и спорт</t>
  </si>
  <si>
    <t>Физическая культура</t>
  </si>
  <si>
    <t>1100</t>
  </si>
  <si>
    <t>Муниципальная программа "Развитие физической культуры и спорта на территории Мотыгинского района"</t>
  </si>
  <si>
    <t>1101</t>
  </si>
  <si>
    <t>ФИЗИЧЕСКАЯ КУЛЬТУРА И СПОРТ</t>
  </si>
  <si>
    <t>Подпрограмма "Содержание автомобильных дорог общего пользования местного значения"</t>
  </si>
  <si>
    <t>Непрограммные расходы администрации Мотыгинского района</t>
  </si>
  <si>
    <t>Функционирование администрации Мотыгинского района</t>
  </si>
  <si>
    <t>Глава муниципального образования в рамках непрограммных расходов администрации Мотыгинского района</t>
  </si>
  <si>
    <t>8500000000</t>
  </si>
  <si>
    <t>8510000000</t>
  </si>
  <si>
    <t>8510000220</t>
  </si>
  <si>
    <t>Функционирование финансово-экономического управления администрации Мотыгинского района</t>
  </si>
  <si>
    <t>0690084020</t>
  </si>
  <si>
    <t>85100S5550</t>
  </si>
  <si>
    <t>Муниципальная программа " Обеспечение доступным и комфортным жильем жителей в Мотыгинского района"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</si>
  <si>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</si>
  <si>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Подпрограмма "Обеспечение реализации муниципальной программы"</t>
  </si>
  <si>
    <t>Субсидии юридическим лицам (за исключением государственных и  муниципальных учреждений) и  индивидуальным предпринимателям в целях возмещения недополученных доходов и (или) финансового обеспечения (возмещения) затрат, возникающих в связи с регулированием тарифов на перевозки пассажиров внутренним водным транспортом в местном сообщении</t>
  </si>
  <si>
    <t>10400S5080</t>
  </si>
  <si>
    <t>Связь и информатика</t>
  </si>
  <si>
    <t>0410</t>
  </si>
  <si>
    <t>11300S4660</t>
  </si>
  <si>
    <t>Реализация отдельных мер по обеспечению ограничения платы граждан за коммунальные услуги</t>
  </si>
  <si>
    <t>11200L4970</t>
  </si>
  <si>
    <t>9100000000</t>
  </si>
  <si>
    <t>9170000000</t>
  </si>
  <si>
    <t>Функционирование централизованной бухгалтерии муниципального образования Мотыгинский район</t>
  </si>
  <si>
    <t>Непрограммные расходы казенных учреждений</t>
  </si>
  <si>
    <t>9170000610</t>
  </si>
  <si>
    <t>Функционирование службы строительства Мотыгинского района</t>
  </si>
  <si>
    <t>Непрограммные расходы Контрольно-счетного органа Мотыгинского района</t>
  </si>
  <si>
    <t>Функционирование Контрольно-счетного органа Мотыгинского района</t>
  </si>
  <si>
    <t>Функционирование Мотыгинского районного Совета депутатов</t>
  </si>
  <si>
    <t>Муниципальная программа  "Содействие развитию местного самоуправления"</t>
  </si>
  <si>
    <t>МУНИЦИПАЛЬНОЕ КАЗЕННОЕ УЧРЕЖДЕНИЕ "СЛУЖБА ЗЕМЕЛЬНО-ИМУЩЕСТВЕННЫХ ОТНОШЕНИЙ  МОТЫГИНСКОГО РАЙОНА"</t>
  </si>
  <si>
    <t>Функционирование службы земельно-имущественных отношений Мотыгинского района</t>
  </si>
  <si>
    <t>0610000850</t>
  </si>
  <si>
    <t>0610017110</t>
  </si>
  <si>
    <t>Муниципальная программа "Содействие развитию местного самоуправления""</t>
  </si>
  <si>
    <t>Организация общественных работ на территории Мотыгинского района, обеспечивающих временную занятость и материальную поддержку безработных граждан</t>
  </si>
  <si>
    <t>Подпрограмма "Устойчивое развитие сельских территорий"</t>
  </si>
  <si>
    <t>Предоставление выпадающих доходов , возникающих в результате поставки населению по регулируемым ценам (тарифам) электрической энергии, вырабатываемой дизельными электростанциями</t>
  </si>
  <si>
    <t>0810000610</t>
  </si>
  <si>
    <t>Финансирование расходов на содержание единых дежурно-диспетчерских служб</t>
  </si>
  <si>
    <t>08100S4130</t>
  </si>
  <si>
    <t>Благоустройство</t>
  </si>
  <si>
    <t>0503</t>
  </si>
  <si>
    <t>Подпрограмма "Благоустройство территорий поселений"</t>
  </si>
  <si>
    <t>02300L4660</t>
  </si>
  <si>
    <t>0240000660</t>
  </si>
  <si>
    <t>0690000000</t>
  </si>
  <si>
    <t>Подпрограмма "Осуществление деятельности по обеспечению безопасности в чрезвычайных ситуациях"</t>
  </si>
  <si>
    <t>08200000000</t>
  </si>
  <si>
    <t>Подпрограмма "Капитальный ремонт и ремонт автомобильных дорог общего пользования местного значения"</t>
  </si>
  <si>
    <t>НЕПРОГРАММГЫЕ РАСХОДЫ АДМИНИСТРАЦИИ МОТЫГИНСКОГО РАЙОНА</t>
  </si>
  <si>
    <t>НЕПРОГРАММНЫЕ РАХОДЫ КАЗЕННЫХ УЧРЕЖДЕНИЙ</t>
  </si>
  <si>
    <t>Обеспечение деятельности подведомственных учреждений в рамках непрограммных расходов</t>
  </si>
  <si>
    <t>9120000000</t>
  </si>
  <si>
    <t>НЕПРОГРАММНЫЕ РАСХОДЫ КОНТРОЛЬНО-СЧЕТНОГО ОРГАНА МОТЫГИНСКОГО РАЙОНА</t>
  </si>
  <si>
    <t>0320080210</t>
  </si>
  <si>
    <t>Подготовка общеобразовательных учреждений к новому учебному году</t>
  </si>
  <si>
    <t>Подпрограмма «Вовлечение молодежи Мотыгинского района в социальную практику "</t>
  </si>
  <si>
    <t>0410000610</t>
  </si>
  <si>
    <t>04100S4560</t>
  </si>
  <si>
    <t>952</t>
  </si>
  <si>
    <t>0420086030</t>
  </si>
  <si>
    <t>0430086060</t>
  </si>
  <si>
    <t>Подпрограмма "Патриотическое воспитание молодежи Мотыгинского района"</t>
  </si>
  <si>
    <t>Муниципальная программа "Содействие развитию местного самоуправления"</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</si>
  <si>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</si>
  <si>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Подпрограмма " Чистая вода Мотыгинского района"</t>
  </si>
  <si>
    <t>Подпрограмма " Энергосбережение и повышение энергетической эффективности Мотыгинского района"</t>
  </si>
  <si>
    <t>Подпрограмма "Развитие воздушного, водного и автомобильного пассажирского транспорта."</t>
  </si>
  <si>
    <t>Подпрограмма "Содержание автомобильных дорог общего пользования местного значения "</t>
  </si>
  <si>
    <t>Подпрограмма "Развитие массовой физической культуры и спорта на территории Мотыгинского района"</t>
  </si>
  <si>
    <t>Подпрограмма "Внедрение Всероссийского физкультурно-спортивного комплекса "Готов к труду и обороне" (ГТО) в Мотыгинском районе"</t>
  </si>
  <si>
    <t xml:space="preserve">Муниципальная программа  "Развитие культуры и туризма" </t>
  </si>
  <si>
    <t xml:space="preserve">Муниципальная программа "Развитие культуры и туризма" </t>
  </si>
  <si>
    <t>Подпрограмма "Обеспечение реализации общественных и гражданских инициатив и поддержка социально-ориентированных некоммерческих организаций "</t>
  </si>
  <si>
    <t>Муниципальная программа Мотыгинского района"Управление муниципальными финансами"</t>
  </si>
  <si>
    <t>Муниципальная программа Мотыгинского района "Управление муниципальными финансами"</t>
  </si>
  <si>
    <t>Непрограммные расходы представительного органа власти</t>
  </si>
  <si>
    <t xml:space="preserve">Депутаты представительного органа </t>
  </si>
  <si>
    <t>957</t>
  </si>
  <si>
    <t>Руководство и управление в сфере установленных функций органов муниципальной  власти (за исключением фонда оплаты труда обслуживающего персонала) в рамках непрограммных расходов представительного органа власти</t>
  </si>
  <si>
    <t>Руководство и управление в сфере установленных функций органов муниципальной  власти ( фонд оплаты труда обслуживающего персонала) в рамках непрограммных расходов представительного органа власти</t>
  </si>
  <si>
    <t>МУНИЦИПАЛЬНОЕ КАЗЕННОЕ УЧРЕЖДЕНИЕ "СЛУЖБА КАПИТАЛЬНОГО СТРОИТЕЛЬСТВА И РЕМОНТА  МОТЫГИНСКОГО РАЙОНА"</t>
  </si>
  <si>
    <t>Осуществление части полномочий по исполнению бюджета поселения, ведения бухгалтерского учета и формирования бюджетной отчетности</t>
  </si>
  <si>
    <t>9170084560</t>
  </si>
  <si>
    <t xml:space="preserve">Субвенции бюджетам муниципальных образований на осуществление государственных полномочий в области архивного дела в рамках подпрограммы  "Развитие архивного дела в Мотыгинском районе" муниципальной программы Мотыгинского района "Развитие культуры и туризма" </t>
  </si>
  <si>
    <t>Муниципальная программа "Развитие культуры и туризма"</t>
  </si>
  <si>
    <t xml:space="preserve">Обеспечение деятельности в области архивного дела в рамках подпрограммы  "Развитие архивного дела в Мотыгинском районе" муниципальной программы Мотыгинского района "Развитие культуры и туризма" </t>
  </si>
  <si>
    <t xml:space="preserve">Обеспечение деятельности подведомственных учреждений в рамках подпрограммы "Осуществление деятельности по обеспечению безопасности в чрезвычайных ситуациях" муниципальной программы Мотыгинского района "Защита населения и территорий Мотыгинского района от чрезвычайных ситуаций природного и техногенного характера" </t>
  </si>
  <si>
    <t>НЕПРОГРАММНЫЕ РАСХОДЫ ПРЕДСТАВИТЕЛЬНЫХ ОРГАНОВ ВЛАСТИ</t>
  </si>
  <si>
    <t>Региональные выплаты и выплаты, обеспечивающие уровень заработной платы работника бюджетной сферы не ниже размера минимальной заработной платы (минимального размера оплаты труда</t>
  </si>
  <si>
    <t>9170010490</t>
  </si>
  <si>
    <t>0220010490</t>
  </si>
  <si>
    <t>0810010490</t>
  </si>
  <si>
    <t xml:space="preserve">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</si>
  <si>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</si>
  <si>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</si>
  <si>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 xml:space="preserve">Субвенции бюджетам муниципальных образований  на реализацию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«Развитие общего и дополнительного образования в Мотыгинском районе »  </t>
  </si>
  <si>
    <t>Обеспечение деятельности (оказание услуг) подведомственных учреждений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</si>
  <si>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 xml:space="preserve">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общего образования" муниципальной программы «Развитие общего и дополнительного образования в Мотыгинском районе »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</si>
  <si>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</si>
  <si>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«Развитие общего и дополнительного образования в Мотыгинском районе »</t>
  </si>
  <si>
    <t>Руководство и управление в сфере делегированных полномочий в рамках подпрограммы "Обеспечение реализации муниципальной программы" муниципальной программы «Развитие общего и дополнительного образования в Мотыгинском районе »</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</si>
  <si>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"Обеспечение реализации муниципальной программы" муниципальной программы «Развитие общего и дополнительного образования в Мотыгинском районе »</t>
  </si>
  <si>
    <t>Субвенции бюджетам муниципальных образований края на реализацию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«Развитие общего и дополнительного образования в Мотыгинском районе »</t>
  </si>
  <si>
    <t>0310010490</t>
  </si>
  <si>
    <t>0320010490</t>
  </si>
  <si>
    <t>0330010490</t>
  </si>
  <si>
    <t>0340010490</t>
  </si>
  <si>
    <t>Обеспечение деятельности (оказание услуг) подведомственных учреждений в рамках подпрограммы "Развитие дополнительного образования детей" муниципальной программы «Развитие дополнительного образования в Мотыгинском районе »</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</si>
  <si>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t>
  </si>
  <si>
    <t>Обеспечение деятельности, содержание МБУ "Молодежный центр Мотыгинского района  в рамках подпрограммы «Вовлечение молодежи Мотыгинского района в социальную практику "муниципальной программа "Молодежь Мотыгинского района в ХХ1 веке"</t>
  </si>
  <si>
    <t>Создание условий для развития и совершенствования системы патриотического воспитания молодежи Мотыгинского района в рамках подпрограммы "Патриотическое воспитание молодежи Мотыгинского района" муниципальной программа "Молодежь Мотыгинского района в ХХ1 веке"</t>
  </si>
  <si>
    <t>Содействие формированию пространства, способствующего развитию гражданских инициатив и поддержка социально-ориентированных некоммерческих организаций на территории Мотыгинского района  в рамках подпрограммы "Обеспечение реализации общественных и гражданских инициатив и поддержка социально-ориентированных некоммерческих организаций " муниципальной программа "Молодежь Мотыгинского района в ХХ1 веке"</t>
  </si>
  <si>
    <t xml:space="preserve">Обеспечение деятельности (оказание услуг) подведомственных учреждений  (развитие библиотечного дела) в рамках подпрограммы "Культурное наследие" муниципальной программы  "Развитие культуры и туризма" </t>
  </si>
  <si>
    <t xml:space="preserve">Обеспечение деятельности (оказание услуг) подведомственных учреждений (музей) в рамках подпрограммы "Культурное наследие"  муниципальной программы  "Развитие культуры и туризма" </t>
  </si>
  <si>
    <t xml:space="preserve">Обеспечение деятельности (оказание услуг) подведомственных учреждений (театр) в рамках подпрограммы "Искусство и народное творчество"  муниципальной программы  "Развитие культуры и туризма" </t>
  </si>
  <si>
    <t xml:space="preserve">Обеспечение деятельности (оказание услуг) подведомственных учреждений (СКЦ) в рамках подпрограммы "Искусство и народное творчество" муниципальной программы  "Развитие культуры и туризма" </t>
  </si>
  <si>
    <t xml:space="preserve">Обеспечение деятельности (оказание услуг) подведомственных учреждений (СДК) в рамках подпрограммы "Искусство и народное творчество" муниципальной программы  "Развитие культуры и туризма" </t>
  </si>
  <si>
    <t xml:space="preserve">Комплектование книжных фондов библиотек  муниципального образования Мотыгинский район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 </t>
  </si>
  <si>
    <t>0110000000</t>
  </si>
  <si>
    <t>0110080070</t>
  </si>
  <si>
    <t>0120000000</t>
  </si>
  <si>
    <t>0120080080</t>
  </si>
  <si>
    <t>Реализация комплекса мер, направленных на стимулирование и вовлечение населения в занятия физической культурой и спортом в рамках подпрограммы "Развитие массовой физической культуры и спорта на территории Мотыгинского района" муниципальной программы "Развитие физической культуры и спорта на территории Мотыгинского района"</t>
  </si>
  <si>
    <t>Создание условий для развития и популяризации комплекса ГТО на территории Мотыгинского района в рамках подпрограммы "Внедрение Всероссийского физкультурно-спортивного комплекса "Готов к труду и обороне" (ГТО) в Мотыгинском районе" муниципальной программы "Развитие физической культуры и спорта на территории Мотыгинского района"</t>
  </si>
  <si>
    <t>0100000000</t>
  </si>
  <si>
    <t>Поддержка деятельности муниципальных молодежных центров в рамках подпрограммы «Вовлечение молодежи Мотыгинского района в социальную практику "муниципальной программа "Молодежь Мотыгинского района в ХХ1 веке"</t>
  </si>
  <si>
    <t xml:space="preserve">Проведение мероприятий, посвященных празднованию Дня победы  в рамках подпрограммы "Искусство и народное творчество" муниципальной программы  "Развитие культуры и туризма" </t>
  </si>
  <si>
    <t>0230080260</t>
  </si>
  <si>
    <t>0240010490</t>
  </si>
  <si>
    <t>0410010490</t>
  </si>
  <si>
    <t xml:space="preserve">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</si>
  <si>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</si>
  <si>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03200S5630</t>
  </si>
  <si>
    <t>Региональные выплаты и выплаты, обеспечивающие уровень заработной платы работника бюджетной сферы не ниже размера минимальной заработной платы (минимального размера оплаты труда)</t>
  </si>
  <si>
    <t>Оценка недвижимости , признание прав и регулирование отношений по государственной и муниципальной собственности в рамках подпрограммы "Эффективное управление муниципальной собственностью" муниципальной программы "Содействие развитию местного самоуправления"</t>
  </si>
  <si>
    <t>Мероприятия по землеустройству и землепользованию   в рамках подпрограммы "Эффективное управление муниципальной собственностью" муниципальной программы "Содействие развитию местного самоуправления"</t>
  </si>
  <si>
    <t>Руководство и управление в сфере установленных функций органов муниципальной  власти (за исключением фонда оплаты труда обслуживающего персонала) в рамках подпрограммы «Обеспечение реализации муниципальной программы и прочие мероприятия» муниципальной  программы Мотыгинского района «Управление муниципальными финансами»</t>
  </si>
  <si>
    <t>Руководство и управление в сфере установленных функций органов муниципальной  власти ( фонд оплаты труда обслуживающего персонала) в рамках подпрограммы «Обеспечение реализации муниципальной программы и прочие мероприятия» муниципальной  программы Мотыгинского района «Управление муниципальными финансами»</t>
  </si>
  <si>
    <t>0520000220</t>
  </si>
  <si>
    <t>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t>
  </si>
  <si>
    <t>Субсидия бюджетам муниципальных образований на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муниципальной программы "Развитие транспортной системы в Мотыгинском районе"</t>
  </si>
  <si>
    <t>Субсидии</t>
  </si>
  <si>
    <t>Предоставление дотаций на выравнивание бюджетной обеспеченности муниципальных образований Мотыгинского района счет средств районного  бюджета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</si>
  <si>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Жилищное хозяйство</t>
  </si>
  <si>
    <t>0501</t>
  </si>
  <si>
    <t>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корпорации-Фонд содействия реформированию жилищно-коммунального хозяйства в рамках подпрограммы  "Переселение граждан из аварийного жилищного фонда в Мотыгинском районе" муниципальной программы "Обеспечение доступным и комфортным жильем жителей Мотыгинского района"</t>
  </si>
  <si>
    <t>111F367483</t>
  </si>
  <si>
    <t>Субсидии бюджетам муниципальных образований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Мотыгинском районе" муниципальной программы "Обеспечение доступным и комфортным жильем жителей Мотыгинского района"</t>
  </si>
  <si>
    <t>111F367484</t>
  </si>
  <si>
    <t>Руководство и управление в сфере установленных функций органов муниципальной  власти (за исключением фонда оплаты труда обслуживающего персонала)  в рамках непрограммных расходов администрации Мотыгинского района</t>
  </si>
  <si>
    <t>8510000250</t>
  </si>
  <si>
    <t>Руководство и управление в сфере установленных функций органов муниципальной  власти ( фонд оплаты труда обслуживающего персонала) в рамках непрограммных расходов администрации Мотыгинского района</t>
  </si>
  <si>
    <t>Муниципальная программа "Развитие малого, среднего предпринимательства и  сельского хозяйства в Мотыгинском районе"</t>
  </si>
  <si>
    <t>0920000000</t>
  </si>
  <si>
    <t>0920075170</t>
  </si>
  <si>
    <t>Создание условий для развития услуг связи в малочисленных и труднодоступных населенных пунктах Мотыгинского района</t>
  </si>
  <si>
    <t>109D276450</t>
  </si>
  <si>
    <t xml:space="preserve">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t>
  </si>
  <si>
    <t>Обеспечение пожарной безопасности</t>
  </si>
  <si>
    <t>0310</t>
  </si>
  <si>
    <t>Субсидия бюджетам муниципальных образований на обеспечение первичных мер пожарной безопасности</t>
  </si>
  <si>
    <t>9200000000</t>
  </si>
  <si>
    <t>9210000000</t>
  </si>
  <si>
    <t>9210010490</t>
  </si>
  <si>
    <t>МУНИЦИПАЛЬНАЯ ПРОГРАММА "РАЗВИТИЕ МАЛОГО,СРЕДНЕГО ПРЕДПРИНИМАТЕЛЬСТВА И СЕЛЬСКОГО ХОЗЯЙСТВА В МОТЫГИНСКОМ РАЙОНЕ"</t>
  </si>
  <si>
    <t>0910000000</t>
  </si>
  <si>
    <t>Подпрограмма "Эффективное управление муниципальной собственностью и земельными ресурсами на территории Мотыгинского района"</t>
  </si>
  <si>
    <t>0630000000</t>
  </si>
  <si>
    <t>0920075180</t>
  </si>
  <si>
    <t>09100S6070</t>
  </si>
  <si>
    <t>0520010490</t>
  </si>
  <si>
    <t>8510010490</t>
  </si>
  <si>
    <t>Капитальный ремонт и ремонт автомобильных дорог общего пользования местного значения</t>
  </si>
  <si>
    <t>10300S5090</t>
  </si>
  <si>
    <t>Субвенции бюджетам муниципальных образований на осуществление деятельности по опеке и попечительству в отношении совершеннолетних граждан, а также в сфере патронажа</t>
  </si>
  <si>
    <t>Осуществление полномочий по внутреннему финансовому контролю</t>
  </si>
  <si>
    <t>9210084550</t>
  </si>
  <si>
    <t>Подпрограмма "Обеспечение реализации и прочие мероприятия"</t>
  </si>
  <si>
    <t>Исполнение полномочий района по предоставлению выплаты пенсии за выслугу лет  лицам, замещавшим муниципальные должности муниципальной службы в рамках подпрограммы "Обеспечение реализации и прочие мероприятия" муниципальной программы  "Содействие развитию местного самоуправления"</t>
  </si>
  <si>
    <t>0630001110</t>
  </si>
  <si>
    <t>Публичные нормативные социальные выплаты гражданам</t>
  </si>
  <si>
    <t>0630080010</t>
  </si>
  <si>
    <t>Предоставление адресной материальной помощи ко Дню Победы  в рамках подпрограммы "Обеспечение реализации и прочие мероприятия" муниципальной программы  "Содействие развитию местного самоуправления"</t>
  </si>
  <si>
    <t>0630080020</t>
  </si>
  <si>
    <t>0107</t>
  </si>
  <si>
    <t>Обеспечение проведения выборов и референдумов</t>
  </si>
  <si>
    <t>Проведение выборов в представительные органы власти в рамках непрограммных расходов администрации Мотыгинского района</t>
  </si>
  <si>
    <t>Специальные расходы</t>
  </si>
  <si>
    <t xml:space="preserve">Комплектование книжных фондов библиотек Мотыгинского района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 </t>
  </si>
  <si>
    <t>Предоставление единовременной адресной материальной помощи гражданам, находящимся в трудной жизненной ситуации в рамках подпрограммы "Обеспечение реализации и прочие мероприятия" муниципальной программы  "Содействие развитию местного самоуправления"</t>
  </si>
  <si>
    <t>Председатель представительного органа муниципальной власти муниципального района в рамках непрограммных расходов представительного органа власти</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</si>
  <si>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t>
  </si>
  <si>
    <t>Финансирование расходов на реализацию мероприятий муниципальных программ района в рамках непрограммных расходов органов исполнительной власти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</si>
  <si>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Мотыгинского района</t>
  </si>
  <si>
    <t>0310080210</t>
  </si>
  <si>
    <t>Подготовка дошкольных учреждений к новому учебному году</t>
  </si>
  <si>
    <t>0330080210</t>
  </si>
  <si>
    <t>Подготовка  учреждений дополнительного образования к новому учебному году</t>
  </si>
  <si>
    <t>Предоставление дотаций на выравнивание бюджетной обеспеченности муниципальных образований Мотыгинского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</si>
  <si>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Иной межбюджетный трансферт для регулирования сбалансированности бюджетов поселений при осуществлении полномочий по решению вопросов местного значения в рамках подпрограммы  " Создание условий для эффективного и ответственного управления муниципальными финансами, повышение устойчивости бюджетов муниципальных образований Мотыгинского района" муниципальной программы "Управление муниципальными финансами"</t>
  </si>
  <si>
    <t>Организация деятельности лагерей с дневным пребыванием детей</t>
  </si>
  <si>
    <t>0320088270</t>
  </si>
  <si>
    <t>Подпрограмма "Профилактика правонарушений и укрепление общественного порядка и общественной безопасности"</t>
  </si>
  <si>
    <t>Другие вопросы в области жилищно-коммунального хозяйства</t>
  </si>
  <si>
    <t>0505</t>
  </si>
  <si>
    <t>Муниципальная программа "Реформирование и модернизация жилищно-коммунального хозяйства и повышение энергетической эффективности"</t>
  </si>
  <si>
    <t>Подпрограмма "Повышение устойчивости и перспективное развитие коммунальной инфраструктуры Мотыгинского района"</t>
  </si>
  <si>
    <t>Подпрограмма "Чистая вода Мотыгинского района"</t>
  </si>
  <si>
    <t>0710085010</t>
  </si>
  <si>
    <t>Субсидия бюджетам муниципальных образований Мотыгинского района на реализацию мероприятий по капитальному ремонту, реконструкции, модернизации и строительству объектов водоснабжения коммунальной инфраструктуры</t>
  </si>
  <si>
    <t>Реализация мероприятий по содержанию автомобильных дорог общего пользования местного значения муниципальных районов</t>
  </si>
  <si>
    <t>Осуществление части полномочий по градостроительной деятельности</t>
  </si>
  <si>
    <t>08100S4120</t>
  </si>
  <si>
    <t>02400S4860</t>
  </si>
  <si>
    <t>Оснащение музыкальными инструментами детских школ искусств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t>
  </si>
  <si>
    <t>Оснащение музыкальными  инструментами детских школ искусств в рамках подпрограммы "Обеспечение условий реализации муниципальной программы и прочие мероприятия" муниципальной программы "Развитие культуры и туризма"</t>
  </si>
  <si>
    <t>02400S4880</t>
  </si>
  <si>
    <t>ОБСЛУЖИВАНИЕ ГОСУДАРСТВЕННОГО И МУНИЦИПАЛЬНОГО ДОЛГА</t>
  </si>
  <si>
    <t>1300</t>
  </si>
  <si>
    <t>Обслуживание государственного внутреннего и муниципального долга</t>
  </si>
  <si>
    <t>1301</t>
  </si>
  <si>
    <t>Расходы на обслуживание муниципального долга</t>
  </si>
  <si>
    <t>Обслуживание государственного (муниципального) долга</t>
  </si>
  <si>
    <t>Обслуживание муниципального долга</t>
  </si>
  <si>
    <t>ОБСЛУЖИВАНИЕ ГОСУДАРСТВЕННОГО И МУНИЦИПАЛЬЕНОГО ДОЛГА</t>
  </si>
  <si>
    <t>Обслуживание государственного и внутреннего долга</t>
  </si>
  <si>
    <t>Частичное финансирование расходов на повышение с 1 июня 2020 размеров оплаты труда отдельным категориям работников бюджетной сферы</t>
  </si>
  <si>
    <t>0220010360</t>
  </si>
  <si>
    <t>9170010360</t>
  </si>
  <si>
    <t>0810010360</t>
  </si>
  <si>
    <t>0320053030</t>
  </si>
  <si>
    <t>03200S8400</t>
  </si>
  <si>
    <t>032Е452100</t>
  </si>
  <si>
    <t>0330010360</t>
  </si>
  <si>
    <t>0330010480</t>
  </si>
  <si>
    <t>0340010360</t>
  </si>
  <si>
    <t>03200S4300</t>
  </si>
  <si>
    <t>955</t>
  </si>
  <si>
    <t>0240010360</t>
  </si>
  <si>
    <t>0240010480</t>
  </si>
  <si>
    <t>0410010360</t>
  </si>
  <si>
    <t>0210010480</t>
  </si>
  <si>
    <t>0230010480</t>
  </si>
  <si>
    <t>02400L4670</t>
  </si>
  <si>
    <t>0520010360</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</si>
  <si>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"Безопасность дорожного движения" муниципальной программы "Развитие транспортной системы в Мотыгинском районе"</t>
  </si>
  <si>
    <t>102R310601</t>
  </si>
  <si>
    <t>Субсидия бюджетам муниципальных образований на софинансирование муниципальных программ формирование современной городской среды в рамках подпрограммы "Благоустройство территорий поселений" муниципальной программы "Содействие развитию местного самоуправления"</t>
  </si>
  <si>
    <t>06200S4590</t>
  </si>
  <si>
    <t>Субсидия бюджетам муниципальных образований на реализацию проектов по благоустройству территорий сельских населенных пунктов с численностью населения не более 10000 человек в рамках подпрограммы " Благоустройство территорий поселений" муниципальной программы "Содействие развитию местного самоуправления"</t>
  </si>
  <si>
    <t>06200S7410</t>
  </si>
  <si>
    <t>Субсидии бюджетам муниципальных образований для реализации проектов по решению вопросов местного значения сельских поселений  в рамках подпрограммы " Благоустройство территорий поселений" муниципальной программы "Содействие развитию местного самоуправления"</t>
  </si>
  <si>
    <t>06200S7490</t>
  </si>
  <si>
    <t>Субсидии бюджетам муниципальных образований на частичное финансирование расходов на повышение с 1 июня 2020 размеров оплаты труда отдельным категориям работников бюджетной сферы</t>
  </si>
  <si>
    <t>9210010360</t>
  </si>
  <si>
    <t>8510010360</t>
  </si>
  <si>
    <t>03200S3910</t>
  </si>
  <si>
    <t>Охрана окружающей среды</t>
  </si>
  <si>
    <t>0600</t>
  </si>
  <si>
    <t>0603</t>
  </si>
  <si>
    <t>УПРАВЛЕНИЕ СОЦИАЛЬНОЙ ЗАЩИТЫ НАСЕЛЕНИЯ АДМИНИСТРАЦИИ МОТЫГИНСКОГО РАЙОНА</t>
  </si>
  <si>
    <t>Функционирование социальной защиты населения администрации Мотыгинского района</t>
  </si>
  <si>
    <t>953</t>
  </si>
  <si>
    <t>Осуществление ликвидационных мероприятий, связанных с прекращением исполнения органами местного самоуправления отдельных государственных полномочий в рамках непрограммных расходов органов исполнительной власти</t>
  </si>
  <si>
    <t>92200S4240</t>
  </si>
  <si>
    <t>ОХРАНА ОКРУЖАЮЩЕЙ СРЕДЫ</t>
  </si>
  <si>
    <t>Охрана объектов растительного и животного мира среды их обитания</t>
  </si>
  <si>
    <t>Приобретение (выкуп) спортивного зала для МБОУ Новоангарская СОШ</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</si>
  <si>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 Развитие общего образования" муниципальной программы Мотыгинского района "Развитие общего и дополнительного образования в Мотыгинском районе"</t>
  </si>
  <si>
    <t>Создание в общеобразовательных организациях, расположенных в сельской местности и малых городах, условий для занятия физической культурой и спортом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</si>
  <si>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</si>
  <si>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общего образования" муниципальной программы  Мотыгинского района "Развитие общего и дополнительного образования в Мотыгинском районе"</t>
  </si>
  <si>
    <t>Средства на частичное финансирование (возмещение) расходов на повышение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е оплаты труда</t>
  </si>
  <si>
    <t>Субсидии бюджетам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"Повышение устойчивости и перспективное развитие коммунальной инфраструктуры Мотыгинского района" муниципальной программы Мотыгинского района «Реформирование и модернизация жилищно-коммунального хозяйства и повышение энергетической эффективности»</t>
  </si>
  <si>
    <t>07300S5710</t>
  </si>
  <si>
    <t>06100S7450</t>
  </si>
  <si>
    <t>Содержание имущества, находящегося в муниципальной собственности</t>
  </si>
  <si>
    <t>851W058530</t>
  </si>
  <si>
    <t>Осуществление части полномочий по капитальному ремонту дорог общего пользования местного значения</t>
  </si>
  <si>
    <t>Оплата соглашения об уступке права (требования) бывшим работникам МУТП "Ангара" в рамках непрогаммных расходов администрации Мотыгинского района</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</si>
  <si>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</si>
  <si>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Иной межбюджетный трансферт бюджетам муниципальных образований за содействие развитию налогового потенциала в рамках подпрограммы "Эффективное управление муниципальной собственностью и земельными ресурсами на территории Мотыгинского района" муниципальной </t>
  </si>
  <si>
    <t>102R374270</t>
  </si>
  <si>
    <t xml:space="preserve">Осуществление части полномочий по осуществлению дорожной деятельности в отношении дорог местного значения в границах населенных пунктов муниципальных образований Мотыгинского района Красноярского края  </t>
  </si>
  <si>
    <t>Приложение № 3</t>
  </si>
  <si>
    <t>Приложение № 4</t>
  </si>
  <si>
    <t>Обеспечение развития и укрепления МТБ домов культуры в населенных пунктах с числом жителей до 50 тыс. человек в рамках подпрограммы "Обеспечение условий реализации муниципальной программы и прочие мероприятия" муниципальной программы Мотыгинского района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</si>
  <si>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 рамках подпрограммы "Искусство и народное творчество" муниципальной программы "Развитие культуры и туризма"*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</si>
  <si>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 Развитие общего образования" муниципальной программы Мотыгинского района "Развитие общего и дополнительного образования в Мотыгинском районе"</t>
  </si>
  <si>
    <t>Обеспечение санитарно-эпидемиологической безопасности по подготовке и  проведению выборов на территории Мотыгинского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</si>
  <si>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«Развитие общего и дополнительного образования в Мотыгинском районе »</t>
  </si>
  <si>
    <t>03200L3040</t>
  </si>
  <si>
    <t>Частичное финансирование расходов на повышение с 1октября 2020 размеров оплаты труда отдельным категориям работников бюджетной сферы</t>
  </si>
  <si>
    <t>0520010350</t>
  </si>
  <si>
    <t>Субсидии бюджетам муниципальных образований на частичное финансирование расходов на повышение с 1 октября 2020 размеров оплаты труда отдельным категориям работников бюджетной сферы</t>
  </si>
  <si>
    <t>9210010350</t>
  </si>
  <si>
    <t>Частичное финансирование расходов на повышение с 1октября  2020 размеров оплаты труда отдельным категориям работников бюджетной сферы</t>
  </si>
  <si>
    <t>8510010350</t>
  </si>
  <si>
    <t>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муниципальной программы "Развитие транспортной системы в Мотыгинском районе"</t>
  </si>
  <si>
    <t>Частичное финансирование расходов на повышение с 1 октября 2020 размеров оплаты труда отдельным категориям работников бюджетной сферы</t>
  </si>
  <si>
    <t>0810010350</t>
  </si>
  <si>
    <t>0220010350</t>
  </si>
  <si>
    <t>9170010350</t>
  </si>
  <si>
    <t>0340010350</t>
  </si>
  <si>
    <t>0240010350</t>
  </si>
  <si>
    <t>0410010350</t>
  </si>
  <si>
    <t>Возмещение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транспортом по муниципальным маршрутам, в части понесенных затрат на топливо, проведение профилактических мероприятий и дезинфекции подвижного состава общественного транспорта в целях недопущения распространения новой короновирусной инфекции</t>
  </si>
  <si>
    <t>Частичное финансирование расходов на повышение с 1 октября  2020 размеров оплаты труда отдельным категориям работников бюджетной сферы</t>
  </si>
  <si>
    <t>'Возмещение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транспортом по муниципальным маршрутам, в части понесенных затрат на топливо, проведение профилактических мероприятий и дезинфекции подвижного состава общественного транспорта в целях недопущения распространения новой короновирусной инфекции</t>
  </si>
  <si>
    <t>Содержание объектов недвижимого имущества, за исключением объектов жилищного фонда в рамках непрограммных расходов администрации Мотыгинского района</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</si>
  <si>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 в рамках подпрограммы "Искусство и народное творчество" муниципальной программы "Развитие культуры и туризма"*</t>
  </si>
  <si>
    <t>Утверждено Решением о бюджете</t>
  </si>
  <si>
    <t>Бюджетная роспись с учетом изменений</t>
  </si>
  <si>
    <t>Исполнено</t>
  </si>
  <si>
    <t>Процент исполнения</t>
  </si>
  <si>
    <t>Содействие достижению и (или) поощоение достижению наилучших значений показателей эффективности деятельности органов местного самоуправления городских округов и муниципальных районов</t>
  </si>
  <si>
    <t>0310077440</t>
  </si>
  <si>
    <t>0320077440</t>
  </si>
  <si>
    <t>Распределение расходов районного бюджета по разделам и подразделам 
классификации расходов бюджетов Российской Федерации в 2020 году</t>
  </si>
  <si>
    <t>Ведомственная структура расходов районного бюджета за 2020 год</t>
  </si>
  <si>
    <t>Распределение расходов районного бюджета по целевым статьям (муниципальным программам Мотыгинского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в 2020 году.</t>
  </si>
  <si>
    <t>Содействие достижению и (или) поощрение достижению наилучших значений показателей эффективности деятельности органов местного самоуправления городских округов и муниципальных районов</t>
  </si>
  <si>
    <t>от ________________ № 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</si>
</sst>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
    <numFmt numFmtId="167" formatCode="?"/>
  </numFmts>
  <fonts count="28" x14ac:knownFonts="1">
    <font>
      <sz val="11"/>
      <color theme="1"/>
      <name val="Calibri"/>
      <family val="2"/>
      <charset val="204"/>
      <scheme val="minor"/>
    </font>
    <font>
      <b/>
      <sz val="12"/>
      <name val="Times New Roman"/>
      <family val="1"/>
      <charset val="204"/>
    </font>
    <font>
      <sz val="12"/>
      <name val="Times New Roman"/>
      <family val="1"/>
      <charset val="204"/>
    </font>
    <font>
      <sz val="11"/>
      <color theme="1"/>
      <name val="Times New Roman"/>
      <family val="1"/>
      <charset val="204"/>
    </font>
    <font>
      <sz val="11"/>
      <color rgb="FF000000"/>
      <name val="Times New Roman"/>
      <family val="1"/>
      <charset val="204"/>
    </font>
    <font>
      <sz val="12"/>
      <color indexed="8"/>
      <name val="Times New Roman"/>
      <family val="1"/>
      <charset val="204"/>
    </font>
    <font>
      <sz val="11"/>
      <name val="Times New Roman"/>
      <family val="1"/>
      <charset val="204"/>
    </font>
    <font>
      <sz val="12"/>
      <color rgb="FF000000"/>
      <name val="Times New Roman"/>
      <family val="1"/>
      <charset val="204"/>
    </font>
    <font>
      <sz val="10"/>
      <name val="Arial Cyr"/>
      <charset val="204"/>
    </font>
    <font>
      <b/>
      <sz val="11"/>
      <name val="Times New Roman"/>
      <family val="1"/>
      <charset val="204"/>
    </font>
    <font>
      <sz val="8"/>
      <color indexed="8"/>
      <name val="Calibri"/>
      <family val="2"/>
      <charset val="204"/>
    </font>
    <font>
      <b/>
      <sz val="11"/>
      <color theme="1"/>
      <name val="Times New Roman"/>
      <family val="1"/>
      <charset val="204"/>
    </font>
    <font>
      <sz val="11"/>
      <color theme="1"/>
      <name val="Calibri"/>
      <family val="2"/>
      <charset val="204"/>
      <scheme val="minor"/>
    </font>
    <font>
      <b/>
      <i/>
      <sz val="12"/>
      <color rgb="FF000000"/>
      <name val="Times New Roman"/>
      <family val="1"/>
      <charset val="204"/>
    </font>
    <font>
      <sz val="11"/>
      <color indexed="8"/>
      <name val="Times New Roman"/>
      <family val="1"/>
      <charset val="204"/>
    </font>
    <font>
      <i/>
      <sz val="11"/>
      <color theme="1"/>
      <name val="Times New Roman"/>
      <family val="1"/>
      <charset val="204"/>
    </font>
    <font>
      <b/>
      <i/>
      <sz val="11"/>
      <color theme="1"/>
      <name val="Times New Roman"/>
      <family val="1"/>
      <charset val="204"/>
    </font>
    <font>
      <b/>
      <sz val="11"/>
      <color rgb="FF000000"/>
      <name val="Times New Roman"/>
      <family val="1"/>
      <charset val="204"/>
    </font>
    <font>
      <b/>
      <i/>
      <sz val="11"/>
      <color indexed="8"/>
      <name val="Times New Roman"/>
      <family val="1"/>
      <charset val="204"/>
    </font>
    <font>
      <b/>
      <i/>
      <sz val="11"/>
      <name val="Times New Roman"/>
      <family val="1"/>
      <charset val="204"/>
    </font>
    <font>
      <b/>
      <i/>
      <sz val="12"/>
      <color indexed="8"/>
      <name val="Times New Roman"/>
      <family val="1"/>
      <charset val="204"/>
    </font>
    <font>
      <sz val="12"/>
      <color theme="1"/>
      <name val="Times New Roman"/>
      <family val="1"/>
      <charset val="204"/>
    </font>
    <font>
      <b/>
      <i/>
      <sz val="11"/>
      <color rgb="FF000000"/>
      <name val="Times New Roman"/>
      <family val="1"/>
      <charset val="204"/>
    </font>
    <font>
      <b/>
      <sz val="11"/>
      <color indexed="8"/>
      <name val="Times New Roman"/>
      <family val="1"/>
      <charset val="204"/>
    </font>
    <font>
      <sz val="9"/>
      <color indexed="81"/>
      <name val="Tahoma"/>
      <family val="2"/>
      <charset val="204"/>
    </font>
    <font>
      <b/>
      <sz val="9"/>
      <color indexed="81"/>
      <name val="Tahoma"/>
      <family val="2"/>
      <charset val="204"/>
    </font>
    <font>
      <b/>
      <sz val="12"/>
      <color rgb="FF000000"/>
      <name val="Times New Roman"/>
      <family val="1"/>
      <charset val="204"/>
    </font>
    <font>
      <sz val="10"/>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s>
  <cellStyleXfs count="5">
    <xf numFmtId="0" fontId="0" fillId="0" borderId="0"/>
    <xf numFmtId="0" fontId="8" fillId="0" borderId="0"/>
    <xf numFmtId="0" fontId="10" fillId="0" borderId="0"/>
    <xf numFmtId="164" fontId="12" fillId="0" borderId="0" applyFont="0" applyFill="0" applyBorder="0" applyAlignment="0" applyProtection="0"/>
    <xf numFmtId="0" fontId="27" fillId="0" borderId="0"/>
  </cellStyleXfs>
  <cellXfs count="300">
    <xf numFmtId="0" fontId="0" fillId="0" borderId="0" xfId="0"/>
    <xf numFmtId="0" fontId="9" fillId="0" borderId="0" xfId="0" applyFont="1" applyFill="1" applyAlignment="1">
      <alignment horizontal="right"/>
    </xf>
    <xf numFmtId="0" fontId="6" fillId="0" borderId="0" xfId="2" applyFont="1" applyFill="1" applyAlignment="1">
      <alignment horizontal="right"/>
    </xf>
    <xf numFmtId="0" fontId="2" fillId="0" borderId="0" xfId="0" applyFont="1" applyFill="1" applyAlignment="1"/>
    <xf numFmtId="0" fontId="2" fillId="0" borderId="0" xfId="1" applyFont="1" applyFill="1" applyAlignment="1">
      <alignment horizontal="right"/>
    </xf>
    <xf numFmtId="0" fontId="2" fillId="0" borderId="0" xfId="0" applyFont="1" applyFill="1" applyAlignment="1">
      <alignment vertical="top"/>
    </xf>
    <xf numFmtId="0" fontId="2" fillId="0" borderId="0" xfId="0" applyFont="1" applyFill="1"/>
    <xf numFmtId="0" fontId="5" fillId="0" borderId="0" xfId="0" applyFont="1" applyFill="1" applyAlignment="1">
      <alignment horizontal="right"/>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center" vertical="center" wrapText="1"/>
    </xf>
    <xf numFmtId="0" fontId="2" fillId="0" borderId="0" xfId="0" applyNumberFormat="1" applyFont="1" applyAlignment="1">
      <alignment horizontal="justify" vertical="center" wrapText="1"/>
    </xf>
    <xf numFmtId="0" fontId="1" fillId="0" borderId="0" xfId="0" applyNumberFormat="1" applyFont="1" applyFill="1" applyAlignment="1">
      <alignment horizontal="justify" vertical="center" wrapText="1"/>
    </xf>
    <xf numFmtId="0" fontId="2" fillId="0" borderId="0" xfId="0" applyNumberFormat="1" applyFont="1" applyFill="1" applyAlignment="1">
      <alignment horizontal="justify" vertical="center" wrapText="1"/>
    </xf>
    <xf numFmtId="0" fontId="2" fillId="0" borderId="1" xfId="0" applyNumberFormat="1" applyFont="1" applyBorder="1" applyAlignment="1">
      <alignment horizontal="justify" vertical="center" wrapText="1"/>
    </xf>
    <xf numFmtId="49" fontId="3" fillId="0" borderId="0" xfId="0" applyNumberFormat="1" applyFont="1" applyAlignment="1">
      <alignment vertical="top"/>
    </xf>
    <xf numFmtId="49" fontId="3" fillId="0" borderId="0" xfId="0" applyNumberFormat="1" applyFont="1"/>
    <xf numFmtId="0" fontId="3" fillId="0" borderId="0" xfId="0" applyFont="1"/>
    <xf numFmtId="0" fontId="3" fillId="0" borderId="0" xfId="0" applyFont="1" applyAlignment="1"/>
    <xf numFmtId="4" fontId="3" fillId="0" borderId="0" xfId="0" applyNumberFormat="1" applyFont="1"/>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left" vertical="center"/>
    </xf>
    <xf numFmtId="2" fontId="6" fillId="0" borderId="0" xfId="0" applyNumberFormat="1" applyFont="1" applyFill="1" applyAlignment="1">
      <alignment horizontal="center" vertical="center"/>
    </xf>
    <xf numFmtId="49" fontId="6" fillId="0" borderId="0" xfId="0" applyNumberFormat="1" applyFont="1" applyFill="1" applyAlignment="1">
      <alignment horizontal="center" vertical="top"/>
    </xf>
    <xf numFmtId="0" fontId="6" fillId="0" borderId="0" xfId="0" applyNumberFormat="1" applyFont="1" applyFill="1" applyAlignment="1">
      <alignment horizontal="justify" vertical="center"/>
    </xf>
    <xf numFmtId="49" fontId="6"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164" fontId="3" fillId="0" borderId="1" xfId="3" applyFont="1" applyFill="1" applyBorder="1" applyAlignment="1">
      <alignment horizontal="center" vertical="center"/>
    </xf>
    <xf numFmtId="0" fontId="6" fillId="0" borderId="1" xfId="0" applyFont="1" applyFill="1" applyBorder="1" applyAlignment="1">
      <alignment horizontal="justify"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64" fontId="6" fillId="0" borderId="1" xfId="3" applyFont="1" applyFill="1" applyBorder="1" applyAlignment="1">
      <alignment horizontal="center" vertical="center"/>
    </xf>
    <xf numFmtId="0" fontId="3" fillId="0" borderId="1" xfId="0" applyFont="1" applyFill="1" applyBorder="1" applyAlignment="1">
      <alignment horizontal="justify" vertical="center"/>
    </xf>
    <xf numFmtId="0" fontId="3" fillId="0" borderId="0" xfId="0" applyFont="1" applyBorder="1" applyAlignment="1">
      <alignment horizontal="center" vertical="center"/>
    </xf>
    <xf numFmtId="0" fontId="3" fillId="0" borderId="0" xfId="0" applyFont="1" applyAlignment="1">
      <alignment horizontal="center"/>
    </xf>
    <xf numFmtId="164" fontId="16" fillId="0" borderId="1" xfId="3"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justify" vertical="center"/>
    </xf>
    <xf numFmtId="2" fontId="3" fillId="0" borderId="0" xfId="0" applyNumberFormat="1" applyFont="1" applyBorder="1" applyAlignment="1">
      <alignment horizontal="center" vertical="center"/>
    </xf>
    <xf numFmtId="0" fontId="18"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49" fontId="16"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164" fontId="15" fillId="0" borderId="1" xfId="3" applyFont="1" applyFill="1" applyBorder="1" applyAlignment="1">
      <alignment horizontal="center" vertical="center"/>
    </xf>
    <xf numFmtId="164" fontId="11" fillId="0" borderId="1" xfId="3" applyFont="1" applyFill="1" applyBorder="1" applyAlignment="1">
      <alignment horizontal="center" vertical="center"/>
    </xf>
    <xf numFmtId="0" fontId="21"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3" fillId="0" borderId="0" xfId="0" applyFont="1" applyFill="1"/>
    <xf numFmtId="0" fontId="4" fillId="0" borderId="1" xfId="0" applyNumberFormat="1" applyFont="1" applyFill="1" applyBorder="1" applyAlignment="1">
      <alignment horizontal="justify" vertical="center" wrapText="1"/>
    </xf>
    <xf numFmtId="0" fontId="4" fillId="0" borderId="1" xfId="0" quotePrefix="1" applyNumberFormat="1" applyFont="1" applyFill="1" applyBorder="1" applyAlignment="1">
      <alignment horizontal="justify" vertical="center" wrapText="1"/>
    </xf>
    <xf numFmtId="0" fontId="22"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1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164" fontId="3" fillId="0" borderId="0" xfId="3" applyFont="1" applyFill="1"/>
    <xf numFmtId="0" fontId="4" fillId="0" borderId="1" xfId="0" applyFont="1" applyFill="1" applyBorder="1"/>
    <xf numFmtId="49" fontId="1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justify" vertical="center" wrapText="1"/>
    </xf>
    <xf numFmtId="0" fontId="7" fillId="0" borderId="1" xfId="0" quotePrefix="1" applyNumberFormat="1"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4" fillId="0" borderId="2" xfId="0" quotePrefix="1" applyNumberFormat="1" applyFont="1" applyFill="1" applyBorder="1" applyAlignment="1">
      <alignment horizontal="left" vertical="top" wrapText="1"/>
    </xf>
    <xf numFmtId="0" fontId="3" fillId="0" borderId="0" xfId="0" applyFont="1" applyFill="1" applyAlignment="1">
      <alignment wrapText="1"/>
    </xf>
    <xf numFmtId="164" fontId="3" fillId="0" borderId="0" xfId="3" applyFont="1" applyFill="1" applyBorder="1" applyAlignment="1">
      <alignment horizontal="center" vertical="center"/>
    </xf>
    <xf numFmtId="0" fontId="14" fillId="0" borderId="1" xfId="0" applyFont="1" applyFill="1" applyBorder="1" applyAlignment="1">
      <alignment horizontal="justify" vertical="center" wrapText="1"/>
    </xf>
    <xf numFmtId="0" fontId="3"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3" fillId="0" borderId="1" xfId="0" applyNumberFormat="1" applyFont="1" applyFill="1" applyBorder="1" applyAlignment="1">
      <alignment horizontal="justify" vertical="center" wrapText="1"/>
    </xf>
    <xf numFmtId="49" fontId="19"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xf>
    <xf numFmtId="0" fontId="11" fillId="0" borderId="1" xfId="0" applyFont="1" applyFill="1" applyBorder="1" applyAlignment="1">
      <alignment horizontal="justify" vertical="center"/>
    </xf>
    <xf numFmtId="164" fontId="11" fillId="0" borderId="1" xfId="0" applyNumberFormat="1" applyFont="1" applyFill="1" applyBorder="1" applyAlignment="1">
      <alignment horizontal="center" vertical="center"/>
    </xf>
    <xf numFmtId="0" fontId="17" fillId="0" borderId="1" xfId="0" applyFont="1" applyFill="1" applyBorder="1" applyAlignment="1">
      <alignment horizontal="justify" vertical="center" wrapText="1"/>
    </xf>
    <xf numFmtId="0" fontId="3" fillId="0" borderId="0" xfId="0" applyFont="1" applyFill="1" applyBorder="1" applyAlignment="1">
      <alignment horizontal="center"/>
    </xf>
    <xf numFmtId="0" fontId="3" fillId="0" borderId="0" xfId="0" applyFont="1" applyFill="1" applyBorder="1" applyAlignment="1">
      <alignment horizontal="justify" vertical="center"/>
    </xf>
    <xf numFmtId="0" fontId="3" fillId="0" borderId="0" xfId="0" applyFont="1" applyFill="1" applyBorder="1" applyAlignment="1">
      <alignment horizontal="center" vertical="center"/>
    </xf>
    <xf numFmtId="0" fontId="6" fillId="0"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xf>
    <xf numFmtId="0" fontId="14" fillId="0" borderId="1" xfId="0" applyFont="1" applyFill="1" applyBorder="1" applyAlignment="1">
      <alignment horizontal="justify"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18"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164" fontId="3" fillId="0" borderId="1" xfId="0" applyNumberFormat="1" applyFont="1" applyFill="1" applyBorder="1" applyAlignment="1">
      <alignment horizontal="center" vertical="center"/>
    </xf>
    <xf numFmtId="164" fontId="6" fillId="0" borderId="0" xfId="3" applyFont="1" applyFill="1" applyBorder="1" applyAlignment="1">
      <alignment horizontal="center" vertical="center"/>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4" fillId="0" borderId="1" xfId="0" applyFont="1" applyFill="1" applyBorder="1" applyAlignment="1">
      <alignment horizontal="justify"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18"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49" fontId="15" fillId="0" borderId="1" xfId="0" applyNumberFormat="1" applyFont="1" applyFill="1" applyBorder="1" applyAlignment="1">
      <alignment horizontal="center" vertical="center"/>
    </xf>
    <xf numFmtId="167" fontId="6" fillId="0" borderId="6" xfId="4" applyNumberFormat="1" applyFont="1" applyBorder="1" applyAlignment="1" applyProtection="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164" fontId="15" fillId="0" borderId="4" xfId="3" applyFont="1" applyFill="1" applyBorder="1" applyAlignment="1">
      <alignment horizontal="center" vertical="center"/>
    </xf>
    <xf numFmtId="49" fontId="1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5" fillId="0" borderId="4" xfId="0"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2" fillId="0" borderId="1" xfId="0" applyNumberFormat="1" applyFont="1" applyBorder="1" applyAlignment="1">
      <alignment horizontal="center" vertical="top"/>
    </xf>
    <xf numFmtId="49" fontId="2" fillId="0" borderId="1" xfId="0" applyNumberFormat="1" applyFont="1" applyBorder="1" applyAlignment="1">
      <alignment horizontal="center"/>
    </xf>
    <xf numFmtId="0" fontId="7" fillId="0" borderId="1" xfId="0" applyNumberFormat="1" applyFont="1" applyBorder="1" applyAlignment="1">
      <alignment horizontal="center" vertical="center"/>
    </xf>
    <xf numFmtId="0" fontId="13" fillId="0" borderId="1" xfId="0" quotePrefix="1" applyNumberFormat="1" applyFont="1" applyBorder="1" applyAlignment="1">
      <alignment horizontal="justify" vertical="center" wrapText="1"/>
    </xf>
    <xf numFmtId="0" fontId="13" fillId="0" borderId="1" xfId="0" quotePrefix="1" applyNumberFormat="1" applyFont="1" applyBorder="1" applyAlignment="1">
      <alignment horizontal="center" vertical="center" wrapText="1"/>
    </xf>
    <xf numFmtId="0" fontId="7" fillId="0" borderId="1" xfId="0" quotePrefix="1" applyNumberFormat="1" applyFont="1" applyBorder="1" applyAlignment="1">
      <alignment horizontal="justify" vertical="center" wrapText="1"/>
    </xf>
    <xf numFmtId="0" fontId="7" fillId="0" borderId="1" xfId="0" quotePrefix="1" applyNumberFormat="1" applyFont="1" applyBorder="1" applyAlignment="1">
      <alignment horizontal="center" wrapText="1"/>
    </xf>
    <xf numFmtId="0" fontId="7" fillId="0" borderId="1" xfId="0" applyNumberFormat="1" applyFont="1" applyBorder="1" applyAlignment="1">
      <alignment horizontal="justify" vertical="center" wrapText="1"/>
    </xf>
    <xf numFmtId="49" fontId="7" fillId="0" borderId="1" xfId="0" applyNumberFormat="1" applyFont="1" applyBorder="1" applyAlignment="1">
      <alignment horizontal="center" wrapText="1"/>
    </xf>
    <xf numFmtId="0" fontId="13" fillId="0" borderId="1" xfId="0" quotePrefix="1" applyNumberFormat="1" applyFont="1" applyBorder="1" applyAlignment="1">
      <alignment horizontal="left" vertical="center" wrapText="1"/>
    </xf>
    <xf numFmtId="4" fontId="13" fillId="0" borderId="1" xfId="0" applyNumberFormat="1" applyFont="1" applyFill="1" applyBorder="1" applyAlignment="1">
      <alignment horizontal="center" vertical="center" wrapText="1"/>
    </xf>
    <xf numFmtId="49" fontId="26" fillId="0" borderId="1" xfId="0" applyNumberFormat="1" applyFont="1" applyBorder="1" applyAlignment="1">
      <alignment horizontal="center" wrapText="1"/>
    </xf>
    <xf numFmtId="0" fontId="13" fillId="0" borderId="1" xfId="0" applyNumberFormat="1" applyFont="1" applyBorder="1" applyAlignment="1">
      <alignment horizontal="justify" vertical="center" wrapText="1"/>
    </xf>
    <xf numFmtId="0" fontId="13" fillId="0" borderId="1" xfId="0" quotePrefix="1" applyNumberFormat="1" applyFont="1" applyBorder="1" applyAlignment="1">
      <alignment horizont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justify" vertical="center" wrapText="1"/>
    </xf>
    <xf numFmtId="0" fontId="4" fillId="0" borderId="1" xfId="0" quotePrefix="1" applyNumberFormat="1" applyFont="1" applyFill="1" applyBorder="1" applyAlignment="1">
      <alignment horizontal="justify"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wrapText="1"/>
    </xf>
    <xf numFmtId="0" fontId="9" fillId="0" borderId="0" xfId="0" applyFont="1" applyFill="1" applyAlignment="1">
      <alignment horizontal="center"/>
    </xf>
    <xf numFmtId="49" fontId="3" fillId="0" borderId="1" xfId="0" applyNumberFormat="1" applyFont="1" applyFill="1" applyBorder="1" applyAlignment="1">
      <alignment horizontal="center" vertical="center"/>
    </xf>
    <xf numFmtId="164" fontId="15" fillId="0" borderId="4" xfId="3" applyFont="1" applyFill="1" applyBorder="1" applyAlignment="1">
      <alignment horizontal="center" vertical="center"/>
    </xf>
    <xf numFmtId="0" fontId="6"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14" fillId="0" borderId="1" xfId="0" applyFont="1" applyFill="1" applyBorder="1" applyAlignment="1">
      <alignment horizontal="justify" vertical="center" wrapText="1"/>
    </xf>
    <xf numFmtId="2" fontId="6"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4" fillId="0" borderId="1" xfId="0" applyFont="1" applyFill="1" applyBorder="1" applyAlignment="1">
      <alignment horizontal="justify" wrapText="1"/>
    </xf>
    <xf numFmtId="0" fontId="7" fillId="0" borderId="1" xfId="0" applyNumberFormat="1" applyFont="1" applyFill="1" applyBorder="1" applyAlignment="1">
      <alignment horizontal="justify" vertical="center" wrapText="1"/>
    </xf>
    <xf numFmtId="0" fontId="4" fillId="0" borderId="1" xfId="0" quotePrefix="1" applyNumberFormat="1" applyFont="1" applyFill="1" applyBorder="1" applyAlignment="1">
      <alignment horizontal="justify" vertical="center" wrapText="1"/>
    </xf>
    <xf numFmtId="43" fontId="3" fillId="0" borderId="0" xfId="0" applyNumberFormat="1" applyFont="1" applyFill="1"/>
    <xf numFmtId="0" fontId="3" fillId="0" borderId="1" xfId="0" applyFont="1" applyBorder="1" applyAlignment="1">
      <alignment horizontal="center" vertical="center" wrapText="1"/>
    </xf>
    <xf numFmtId="0" fontId="3" fillId="0" borderId="1" xfId="0" applyFont="1" applyBorder="1" applyAlignment="1">
      <alignment horizontal="center"/>
    </xf>
    <xf numFmtId="0" fontId="11" fillId="0" borderId="0" xfId="0" applyFont="1" applyAlignment="1"/>
    <xf numFmtId="4" fontId="1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4" fontId="7"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164" fontId="3" fillId="0" borderId="7" xfId="3" applyFont="1" applyFill="1" applyBorder="1" applyAlignment="1">
      <alignment horizontal="center" vertical="center"/>
    </xf>
    <xf numFmtId="0" fontId="3" fillId="0" borderId="1" xfId="0" applyFont="1" applyFill="1" applyBorder="1"/>
    <xf numFmtId="0" fontId="11" fillId="0" borderId="0" xfId="0" applyFont="1" applyAlignment="1">
      <alignment vertical="center"/>
    </xf>
    <xf numFmtId="0" fontId="3" fillId="0" borderId="0" xfId="0" applyFont="1" applyAlignment="1">
      <alignment vertical="center"/>
    </xf>
    <xf numFmtId="0" fontId="3" fillId="0" borderId="1" xfId="0" applyFont="1" applyFill="1" applyBorder="1" applyAlignment="1">
      <alignment horizontal="center"/>
    </xf>
    <xf numFmtId="164" fontId="3" fillId="0" borderId="0" xfId="3" applyFont="1" applyFill="1" applyAlignment="1">
      <alignment horizontal="center" vertical="center"/>
    </xf>
    <xf numFmtId="2"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165" fontId="6" fillId="0" borderId="0" xfId="0" applyNumberFormat="1" applyFont="1" applyFill="1" applyBorder="1" applyAlignment="1">
      <alignment horizontal="center" vertical="center"/>
    </xf>
    <xf numFmtId="166" fontId="3" fillId="0" borderId="0" xfId="0" applyNumberFormat="1" applyFont="1" applyFill="1" applyAlignment="1">
      <alignment horizontal="center" vertical="center"/>
    </xf>
    <xf numFmtId="0" fontId="3" fillId="0" borderId="0" xfId="0" applyFont="1" applyFill="1" applyAlignment="1">
      <alignment horizontal="justify" vertical="center"/>
    </xf>
    <xf numFmtId="2" fontId="3" fillId="0" borderId="0" xfId="0" applyNumberFormat="1" applyFont="1" applyFill="1" applyAlignment="1">
      <alignment horizontal="center" vertical="center"/>
    </xf>
    <xf numFmtId="0" fontId="1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1" fontId="3" fillId="0" borderId="1" xfId="0" applyNumberFormat="1" applyFont="1" applyFill="1" applyBorder="1" applyAlignment="1">
      <alignment horizontal="center" vertical="center"/>
    </xf>
    <xf numFmtId="0" fontId="17" fillId="0" borderId="1" xfId="0" applyFont="1" applyFill="1" applyBorder="1" applyAlignment="1">
      <alignment wrapText="1"/>
    </xf>
    <xf numFmtId="167" fontId="6" fillId="0" borderId="6" xfId="4" applyNumberFormat="1" applyFont="1" applyFill="1" applyBorder="1" applyAlignment="1" applyProtection="1">
      <alignment horizontal="left" vertical="center" wrapText="1"/>
    </xf>
    <xf numFmtId="0" fontId="17" fillId="0" borderId="1" xfId="0" applyFont="1" applyFill="1" applyBorder="1" applyAlignment="1">
      <alignment vertical="center"/>
    </xf>
    <xf numFmtId="0" fontId="7" fillId="0" borderId="2" xfId="0" quotePrefix="1" applyNumberFormat="1" applyFont="1" applyFill="1" applyBorder="1" applyAlignment="1">
      <alignment horizontal="justify" vertical="center" wrapText="1"/>
    </xf>
    <xf numFmtId="0" fontId="17" fillId="0" borderId="1" xfId="0" applyFont="1" applyFill="1" applyBorder="1" applyAlignment="1">
      <alignment vertical="center" wrapText="1"/>
    </xf>
    <xf numFmtId="0" fontId="3" fillId="0" borderId="0" xfId="0" applyFont="1" applyBorder="1"/>
    <xf numFmtId="0" fontId="13" fillId="0" borderId="1" xfId="0" quotePrefix="1" applyNumberFormat="1" applyFont="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164" fontId="3" fillId="0" borderId="3" xfId="3" applyFont="1" applyFill="1" applyBorder="1" applyAlignment="1">
      <alignment horizontal="center" vertical="center"/>
    </xf>
    <xf numFmtId="164" fontId="3" fillId="0" borderId="4" xfId="3" applyFont="1" applyFill="1" applyBorder="1" applyAlignment="1">
      <alignment horizontal="center" vertical="center"/>
    </xf>
    <xf numFmtId="0" fontId="14" fillId="0" borderId="3"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9" fillId="0" borderId="0" xfId="0" applyFont="1" applyFill="1" applyAlignment="1">
      <alignment horizontal="center" vertical="top" wrapText="1"/>
    </xf>
    <xf numFmtId="2" fontId="3" fillId="0" borderId="3"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4" xfId="0" applyNumberFormat="1" applyFont="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4" fillId="0" borderId="3" xfId="0" applyNumberFormat="1" applyFont="1" applyFill="1" applyBorder="1" applyAlignment="1">
      <alignment horizontal="justify" vertical="center" wrapText="1"/>
    </xf>
    <xf numFmtId="0" fontId="4" fillId="0" borderId="4" xfId="0" applyNumberFormat="1" applyFont="1" applyFill="1" applyBorder="1" applyAlignment="1">
      <alignment horizontal="justify"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4" fillId="0" borderId="3" xfId="0" quotePrefix="1" applyNumberFormat="1" applyFont="1" applyFill="1" applyBorder="1" applyAlignment="1">
      <alignment horizontal="justify" vertical="center" wrapText="1"/>
    </xf>
    <xf numFmtId="0" fontId="4" fillId="0" borderId="4" xfId="0" quotePrefix="1"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164" fontId="15" fillId="0" borderId="3" xfId="3" applyFont="1" applyFill="1" applyBorder="1" applyAlignment="1">
      <alignment horizontal="center" vertical="center"/>
    </xf>
    <xf numFmtId="164" fontId="15" fillId="0" borderId="4" xfId="3"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14" fillId="0" borderId="1" xfId="0" applyFont="1" applyFill="1" applyBorder="1" applyAlignment="1">
      <alignment horizontal="justify" vertical="center" wrapText="1"/>
    </xf>
    <xf numFmtId="0" fontId="3" fillId="0" borderId="1" xfId="0" applyNumberFormat="1" applyFont="1" applyFill="1" applyBorder="1" applyAlignment="1">
      <alignment horizontal="center" vertical="center"/>
    </xf>
    <xf numFmtId="2" fontId="6" fillId="0" borderId="1" xfId="0" applyNumberFormat="1"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3" fillId="0" borderId="5" xfId="0" applyFont="1" applyFill="1" applyBorder="1" applyAlignment="1">
      <alignment horizontal="center" vertical="center"/>
    </xf>
    <xf numFmtId="0" fontId="4" fillId="0" borderId="1" xfId="0" quotePrefix="1"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18" fillId="0" borderId="1" xfId="0" applyFont="1" applyFill="1" applyBorder="1" applyAlignment="1">
      <alignment horizontal="justify" vertical="center" wrapText="1"/>
    </xf>
    <xf numFmtId="49" fontId="16" fillId="0" borderId="1" xfId="0" applyNumberFormat="1" applyFont="1" applyFill="1" applyBorder="1" applyAlignment="1">
      <alignment horizontal="center" vertical="center"/>
    </xf>
    <xf numFmtId="0" fontId="4" fillId="0" borderId="1"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0" fontId="6" fillId="0" borderId="0" xfId="0" applyFont="1" applyFill="1" applyBorder="1" applyAlignment="1">
      <alignment horizontal="left" vertical="center"/>
    </xf>
    <xf numFmtId="164" fontId="3" fillId="0" borderId="1" xfId="0" applyNumberFormat="1" applyFont="1" applyFill="1" applyBorder="1" applyAlignment="1">
      <alignment horizontal="center" vertical="center"/>
    </xf>
    <xf numFmtId="0" fontId="4" fillId="0" borderId="1" xfId="0" applyFont="1" applyFill="1" applyBorder="1" applyAlignment="1">
      <alignment horizontal="justify" wrapText="1"/>
    </xf>
    <xf numFmtId="164" fontId="15"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7" fillId="0" borderId="1" xfId="0" applyNumberFormat="1" applyFont="1" applyFill="1" applyBorder="1" applyAlignment="1">
      <alignment horizontal="justify" vertical="center" wrapText="1"/>
    </xf>
    <xf numFmtId="0" fontId="4" fillId="0" borderId="1" xfId="0" quotePrefix="1" applyNumberFormat="1" applyFont="1" applyFill="1" applyBorder="1" applyAlignment="1">
      <alignment horizontal="justify" vertical="center" wrapText="1"/>
    </xf>
  </cellXfs>
  <cellStyles count="5">
    <cellStyle name="Обычный" xfId="0" builtinId="0"/>
    <cellStyle name="Обычный 2" xfId="2"/>
    <cellStyle name="Обычный_Лист1" xfId="1"/>
    <cellStyle name="Обычный_приложение 6" xfId="4"/>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abSelected="1" view="pageBreakPreview" topLeftCell="A13" zoomScale="60" zoomScaleNormal="100" workbookViewId="0">
      <selection activeCell="H13" sqref="H13"/>
    </sheetView>
  </sheetViews>
  <sheetFormatPr defaultColWidth="34" defaultRowHeight="15.75" x14ac:dyDescent="0.25"/>
  <cols>
    <col min="1" max="1" width="8.140625" style="18" customWidth="1"/>
    <col min="2" max="2" width="58" style="12" customWidth="1"/>
    <col min="3" max="3" width="11.28515625" style="18" customWidth="1"/>
    <col min="4" max="4" width="15.42578125" style="18" customWidth="1"/>
    <col min="5" max="5" width="15" style="18" customWidth="1"/>
    <col min="6" max="6" width="20.140625" style="18" customWidth="1"/>
    <col min="7" max="7" width="15.85546875" style="18" customWidth="1"/>
    <col min="8" max="16384" width="34" style="18"/>
  </cols>
  <sheetData>
    <row r="1" spans="1:8" x14ac:dyDescent="0.25">
      <c r="A1" s="16"/>
      <c r="C1" s="17"/>
      <c r="E1" s="212" t="s">
        <v>549</v>
      </c>
      <c r="F1" s="212"/>
      <c r="G1" s="212"/>
      <c r="H1" s="1"/>
    </row>
    <row r="2" spans="1:8" x14ac:dyDescent="0.25">
      <c r="A2" s="16"/>
      <c r="C2" s="17"/>
      <c r="E2" s="19" t="s">
        <v>155</v>
      </c>
      <c r="F2" s="19"/>
      <c r="G2" s="19"/>
      <c r="H2" s="2"/>
    </row>
    <row r="3" spans="1:8" x14ac:dyDescent="0.25">
      <c r="A3" s="16"/>
      <c r="C3" s="17"/>
      <c r="E3" s="19" t="s">
        <v>252</v>
      </c>
      <c r="F3" s="19"/>
      <c r="G3" s="19"/>
      <c r="H3" s="2"/>
    </row>
    <row r="4" spans="1:8" x14ac:dyDescent="0.25">
      <c r="A4" s="16"/>
      <c r="C4" s="17"/>
      <c r="E4" s="3" t="s">
        <v>156</v>
      </c>
      <c r="F4" s="3"/>
      <c r="G4" s="3"/>
      <c r="H4" s="4"/>
    </row>
    <row r="5" spans="1:8" x14ac:dyDescent="0.25">
      <c r="A5" s="16"/>
      <c r="C5" s="17"/>
      <c r="D5" s="3"/>
      <c r="E5" s="3"/>
      <c r="F5" s="4"/>
    </row>
    <row r="7" spans="1:8" ht="60.75" customHeight="1" x14ac:dyDescent="0.25">
      <c r="A7" s="242" t="s">
        <v>583</v>
      </c>
      <c r="B7" s="242"/>
      <c r="C7" s="242"/>
      <c r="D7" s="242"/>
      <c r="E7" s="242"/>
      <c r="F7" s="242"/>
      <c r="G7" s="242"/>
    </row>
    <row r="8" spans="1:8" x14ac:dyDescent="0.25">
      <c r="A8" s="10"/>
      <c r="B8" s="13"/>
      <c r="C8" s="11"/>
      <c r="D8" s="11"/>
      <c r="E8" s="11"/>
      <c r="F8" s="11"/>
    </row>
    <row r="9" spans="1:8" x14ac:dyDescent="0.25">
      <c r="A9" s="5"/>
      <c r="B9" s="14"/>
      <c r="C9" s="6"/>
      <c r="D9" s="7"/>
      <c r="E9" s="7"/>
      <c r="G9" s="7" t="s">
        <v>0</v>
      </c>
    </row>
    <row r="10" spans="1:8" ht="60" x14ac:dyDescent="0.25">
      <c r="A10" s="8" t="s">
        <v>1</v>
      </c>
      <c r="B10" s="15" t="s">
        <v>86</v>
      </c>
      <c r="C10" s="9" t="s">
        <v>4</v>
      </c>
      <c r="D10" s="30" t="s">
        <v>576</v>
      </c>
      <c r="E10" s="30" t="s">
        <v>577</v>
      </c>
      <c r="F10" s="30" t="s">
        <v>578</v>
      </c>
      <c r="G10" s="210" t="s">
        <v>579</v>
      </c>
    </row>
    <row r="11" spans="1:8" x14ac:dyDescent="0.25">
      <c r="A11" s="151"/>
      <c r="B11" s="8" t="s">
        <v>7</v>
      </c>
      <c r="C11" s="152" t="s">
        <v>8</v>
      </c>
      <c r="D11" s="152" t="s">
        <v>9</v>
      </c>
      <c r="E11" s="152" t="s">
        <v>10</v>
      </c>
      <c r="F11" s="152" t="s">
        <v>11</v>
      </c>
      <c r="G11" s="211">
        <v>6</v>
      </c>
    </row>
    <row r="12" spans="1:8" ht="24.75" customHeight="1" x14ac:dyDescent="0.25">
      <c r="A12" s="153">
        <v>1</v>
      </c>
      <c r="B12" s="154" t="s">
        <v>87</v>
      </c>
      <c r="C12" s="155" t="s">
        <v>88</v>
      </c>
      <c r="D12" s="213">
        <f>D13+D14+D15+D17+D19+D20+D16+D18</f>
        <v>140055.58000000002</v>
      </c>
      <c r="E12" s="213">
        <f t="shared" ref="E12:F12" si="0">E13+E14+E15+E17+E19+E20+E16+E18</f>
        <v>140055.58000000002</v>
      </c>
      <c r="F12" s="213">
        <f t="shared" si="0"/>
        <v>134534.34458000003</v>
      </c>
      <c r="G12" s="214">
        <f>F12/E12*100</f>
        <v>96.057825457579071</v>
      </c>
    </row>
    <row r="13" spans="1:8" ht="36" customHeight="1" x14ac:dyDescent="0.25">
      <c r="A13" s="153">
        <v>2</v>
      </c>
      <c r="B13" s="156" t="s">
        <v>89</v>
      </c>
      <c r="C13" s="157" t="s">
        <v>90</v>
      </c>
      <c r="D13" s="215">
        <f>'приложение 4'!G155</f>
        <v>1944.06</v>
      </c>
      <c r="E13" s="215">
        <f>'приложение 4'!H155</f>
        <v>1944.06</v>
      </c>
      <c r="F13" s="215">
        <f>'приложение 4'!I155</f>
        <v>1873.45</v>
      </c>
      <c r="G13" s="214">
        <f t="shared" ref="G13:G61" si="1">F13/E13*100</f>
        <v>96.367910455438619</v>
      </c>
    </row>
    <row r="14" spans="1:8" ht="53.25" customHeight="1" x14ac:dyDescent="0.25">
      <c r="A14" s="153">
        <v>3</v>
      </c>
      <c r="B14" s="156" t="s">
        <v>91</v>
      </c>
      <c r="C14" s="157" t="s">
        <v>92</v>
      </c>
      <c r="D14" s="215">
        <f>'приложение 4'!G784</f>
        <v>5060.22</v>
      </c>
      <c r="E14" s="215">
        <f>'приложение 4'!H784</f>
        <v>5060.22</v>
      </c>
      <c r="F14" s="215">
        <f>'приложение 4'!I784</f>
        <v>4771.2869999999994</v>
      </c>
      <c r="G14" s="214">
        <f t="shared" si="1"/>
        <v>94.290109916169641</v>
      </c>
    </row>
    <row r="15" spans="1:8" ht="63" x14ac:dyDescent="0.25">
      <c r="A15" s="153">
        <v>4</v>
      </c>
      <c r="B15" s="156" t="s">
        <v>18</v>
      </c>
      <c r="C15" s="157" t="s">
        <v>93</v>
      </c>
      <c r="D15" s="215">
        <f>'приложение 4'!G167</f>
        <v>29222.149999999994</v>
      </c>
      <c r="E15" s="215">
        <f>'приложение 4'!H167</f>
        <v>29222.15</v>
      </c>
      <c r="F15" s="215">
        <f>'приложение 4'!I167</f>
        <v>28768.883999999998</v>
      </c>
      <c r="G15" s="214">
        <f t="shared" si="1"/>
        <v>98.448895786244321</v>
      </c>
    </row>
    <row r="16" spans="1:8" x14ac:dyDescent="0.25">
      <c r="A16" s="153">
        <v>5</v>
      </c>
      <c r="B16" s="158" t="s">
        <v>162</v>
      </c>
      <c r="C16" s="157" t="s">
        <v>165</v>
      </c>
      <c r="D16" s="215">
        <f>'приложение 4'!G194</f>
        <v>5</v>
      </c>
      <c r="E16" s="215">
        <f>'приложение 4'!H194</f>
        <v>5</v>
      </c>
      <c r="F16" s="215">
        <f>'приложение 4'!I194</f>
        <v>5</v>
      </c>
      <c r="G16" s="214">
        <f t="shared" si="1"/>
        <v>100</v>
      </c>
    </row>
    <row r="17" spans="1:7" ht="47.25" x14ac:dyDescent="0.25">
      <c r="A17" s="153">
        <v>6</v>
      </c>
      <c r="B17" s="156" t="s">
        <v>13</v>
      </c>
      <c r="C17" s="157" t="s">
        <v>94</v>
      </c>
      <c r="D17" s="215">
        <f>'приложение 4'!G15+'приложение 4'!G766</f>
        <v>16101.859999999999</v>
      </c>
      <c r="E17" s="215">
        <f>'приложение 4'!H15+'приложение 4'!H766</f>
        <v>16101.859999999999</v>
      </c>
      <c r="F17" s="215">
        <f>'приложение 4'!I15+'приложение 4'!I766</f>
        <v>16001.03</v>
      </c>
      <c r="G17" s="214">
        <f t="shared" si="1"/>
        <v>99.373799051786577</v>
      </c>
    </row>
    <row r="18" spans="1:7" x14ac:dyDescent="0.25">
      <c r="A18" s="153">
        <v>7</v>
      </c>
      <c r="B18" s="149" t="s">
        <v>450</v>
      </c>
      <c r="C18" s="159" t="s">
        <v>449</v>
      </c>
      <c r="D18" s="215">
        <f>'приложение 4'!G195</f>
        <v>1451.2</v>
      </c>
      <c r="E18" s="215">
        <f>'приложение 4'!H195</f>
        <v>1451.2</v>
      </c>
      <c r="F18" s="215">
        <f>'приложение 4'!I195</f>
        <v>1451.2</v>
      </c>
      <c r="G18" s="214">
        <f t="shared" si="1"/>
        <v>100</v>
      </c>
    </row>
    <row r="19" spans="1:7" x14ac:dyDescent="0.25">
      <c r="A19" s="153">
        <v>8</v>
      </c>
      <c r="B19" s="156" t="s">
        <v>32</v>
      </c>
      <c r="C19" s="157" t="s">
        <v>95</v>
      </c>
      <c r="D19" s="215">
        <f>'приложение 4'!G206</f>
        <v>150</v>
      </c>
      <c r="E19" s="215">
        <f>'приложение 4'!H206</f>
        <v>150</v>
      </c>
      <c r="F19" s="215">
        <f>'приложение 4'!I206</f>
        <v>0</v>
      </c>
      <c r="G19" s="214">
        <f t="shared" si="1"/>
        <v>0</v>
      </c>
    </row>
    <row r="20" spans="1:7" x14ac:dyDescent="0.25">
      <c r="A20" s="153">
        <v>9</v>
      </c>
      <c r="B20" s="156" t="s">
        <v>36</v>
      </c>
      <c r="C20" s="157" t="s">
        <v>96</v>
      </c>
      <c r="D20" s="215">
        <f>'приложение 4'!G207+'приложение 4'!G410+'приложение 4'!G436+'приложение 4'!G464+'приложение 4'!G474+'приложение 4'!G42</f>
        <v>86121.090000000026</v>
      </c>
      <c r="E20" s="215">
        <f>'приложение 4'!H207+'приложение 4'!H410+'приложение 4'!H436+'приложение 4'!H464+'приложение 4'!H474+'приложение 4'!H42</f>
        <v>86121.090000000011</v>
      </c>
      <c r="F20" s="215">
        <f>'приложение 4'!I207+'приложение 4'!I410+'приложение 4'!I436+'приложение 4'!I464+'приложение 4'!I474+'приложение 4'!I42</f>
        <v>81663.493580000009</v>
      </c>
      <c r="G20" s="214">
        <f t="shared" si="1"/>
        <v>94.824036226201969</v>
      </c>
    </row>
    <row r="21" spans="1:7" ht="29.25" customHeight="1" x14ac:dyDescent="0.25">
      <c r="A21" s="153">
        <v>10</v>
      </c>
      <c r="B21" s="154" t="s">
        <v>97</v>
      </c>
      <c r="C21" s="155" t="s">
        <v>98</v>
      </c>
      <c r="D21" s="161">
        <f>D22</f>
        <v>1792.9</v>
      </c>
      <c r="E21" s="161">
        <f t="shared" ref="E21:F21" si="2">E22</f>
        <v>1792.9</v>
      </c>
      <c r="F21" s="161">
        <f t="shared" si="2"/>
        <v>1792.9</v>
      </c>
      <c r="G21" s="214">
        <f t="shared" si="1"/>
        <v>100</v>
      </c>
    </row>
    <row r="22" spans="1:7" x14ac:dyDescent="0.25">
      <c r="A22" s="153">
        <v>11</v>
      </c>
      <c r="B22" s="156" t="s">
        <v>23</v>
      </c>
      <c r="C22" s="157" t="s">
        <v>99</v>
      </c>
      <c r="D22" s="215">
        <f>'приложение 4'!G52</f>
        <v>1792.9</v>
      </c>
      <c r="E22" s="215">
        <f>'приложение 4'!H52</f>
        <v>1792.9</v>
      </c>
      <c r="F22" s="215">
        <f>'приложение 4'!I52</f>
        <v>1792.9</v>
      </c>
      <c r="G22" s="214">
        <f t="shared" si="1"/>
        <v>100</v>
      </c>
    </row>
    <row r="23" spans="1:7" ht="35.25" customHeight="1" x14ac:dyDescent="0.25">
      <c r="A23" s="153">
        <v>12</v>
      </c>
      <c r="B23" s="160" t="s">
        <v>100</v>
      </c>
      <c r="C23" s="155" t="s">
        <v>101</v>
      </c>
      <c r="D23" s="161">
        <f>D24+D25</f>
        <v>6562.9</v>
      </c>
      <c r="E23" s="161">
        <f t="shared" ref="E23:F23" si="3">E24+E25</f>
        <v>6562.9</v>
      </c>
      <c r="F23" s="161">
        <f t="shared" si="3"/>
        <v>6315.73</v>
      </c>
      <c r="G23" s="214">
        <f t="shared" si="1"/>
        <v>96.233829557055572</v>
      </c>
    </row>
    <row r="24" spans="1:7" ht="47.25" x14ac:dyDescent="0.25">
      <c r="A24" s="153">
        <v>13</v>
      </c>
      <c r="B24" s="156" t="s">
        <v>76</v>
      </c>
      <c r="C24" s="157" t="s">
        <v>102</v>
      </c>
      <c r="D24" s="215">
        <f>'приложение 4'!G386+'приложение 4'!G244</f>
        <v>5609.41</v>
      </c>
      <c r="E24" s="215">
        <f>'приложение 4'!H386+'приложение 4'!H244</f>
        <v>5609.41</v>
      </c>
      <c r="F24" s="215">
        <f>'приложение 4'!I386+'приложение 4'!I244</f>
        <v>5362.24</v>
      </c>
      <c r="G24" s="214">
        <f t="shared" si="1"/>
        <v>95.593654234580811</v>
      </c>
    </row>
    <row r="25" spans="1:7" x14ac:dyDescent="0.25">
      <c r="A25" s="153">
        <v>14</v>
      </c>
      <c r="B25" s="158" t="s">
        <v>423</v>
      </c>
      <c r="C25" s="157" t="s">
        <v>424</v>
      </c>
      <c r="D25" s="215">
        <f>'приложение 4'!G58</f>
        <v>953.49</v>
      </c>
      <c r="E25" s="215">
        <f>'приложение 4'!H58</f>
        <v>953.49</v>
      </c>
      <c r="F25" s="215">
        <f>'приложение 4'!I58</f>
        <v>953.49</v>
      </c>
      <c r="G25" s="214">
        <f t="shared" si="1"/>
        <v>100</v>
      </c>
    </row>
    <row r="26" spans="1:7" ht="33.75" customHeight="1" x14ac:dyDescent="0.25">
      <c r="A26" s="153">
        <v>15</v>
      </c>
      <c r="B26" s="154" t="s">
        <v>103</v>
      </c>
      <c r="C26" s="155" t="s">
        <v>104</v>
      </c>
      <c r="D26" s="216">
        <f>D27+D28+D29+D30+D32+D31</f>
        <v>48449.376719999993</v>
      </c>
      <c r="E26" s="216">
        <f t="shared" ref="E26:F26" si="4">E27+E28+E29+E30+E32+E31</f>
        <v>49051.72</v>
      </c>
      <c r="F26" s="216">
        <f t="shared" si="4"/>
        <v>46938.360000000008</v>
      </c>
      <c r="G26" s="214">
        <f t="shared" si="1"/>
        <v>95.691568002100652</v>
      </c>
    </row>
    <row r="27" spans="1:7" x14ac:dyDescent="0.25">
      <c r="A27" s="153">
        <v>16</v>
      </c>
      <c r="B27" s="156" t="s">
        <v>105</v>
      </c>
      <c r="C27" s="157" t="s">
        <v>106</v>
      </c>
      <c r="D27" s="215">
        <f>'приложение 4'!G66</f>
        <v>200</v>
      </c>
      <c r="E27" s="215">
        <f>'приложение 4'!H66</f>
        <v>200</v>
      </c>
      <c r="F27" s="215">
        <f>'приложение 4'!I66</f>
        <v>200</v>
      </c>
      <c r="G27" s="214">
        <f t="shared" si="1"/>
        <v>100</v>
      </c>
    </row>
    <row r="28" spans="1:7" x14ac:dyDescent="0.25">
      <c r="A28" s="153">
        <v>17</v>
      </c>
      <c r="B28" s="156" t="s">
        <v>42</v>
      </c>
      <c r="C28" s="157" t="s">
        <v>107</v>
      </c>
      <c r="D28" s="215">
        <f>'приложение 4'!G254</f>
        <v>774.6</v>
      </c>
      <c r="E28" s="215">
        <f>'приложение 4'!H254</f>
        <v>774.6</v>
      </c>
      <c r="F28" s="215">
        <f>'приложение 4'!I254</f>
        <v>761.9</v>
      </c>
      <c r="G28" s="214">
        <f t="shared" si="1"/>
        <v>98.360444100180729</v>
      </c>
    </row>
    <row r="29" spans="1:7" x14ac:dyDescent="0.25">
      <c r="A29" s="153">
        <v>18</v>
      </c>
      <c r="B29" s="156" t="s">
        <v>41</v>
      </c>
      <c r="C29" s="157" t="s">
        <v>108</v>
      </c>
      <c r="D29" s="215">
        <f>'приложение 4'!G262</f>
        <v>21345.426719999999</v>
      </c>
      <c r="E29" s="215">
        <f>'приложение 4'!H262</f>
        <v>21407.77</v>
      </c>
      <c r="F29" s="215">
        <f>'приложение 4'!I262</f>
        <v>20741</v>
      </c>
      <c r="G29" s="214">
        <f t="shared" si="1"/>
        <v>96.885383204322537</v>
      </c>
    </row>
    <row r="30" spans="1:7" x14ac:dyDescent="0.25">
      <c r="A30" s="153">
        <v>19</v>
      </c>
      <c r="B30" s="156" t="s">
        <v>109</v>
      </c>
      <c r="C30" s="157" t="s">
        <v>110</v>
      </c>
      <c r="D30" s="215">
        <f>'приложение 4'!G72+'приложение 4'!G274</f>
        <v>21164.699999999997</v>
      </c>
      <c r="E30" s="215">
        <f>'приложение 4'!H72+'приложение 4'!H274</f>
        <v>21164.7</v>
      </c>
      <c r="F30" s="215">
        <f>'приложение 4'!I72+'приложение 4'!I274</f>
        <v>19731.45</v>
      </c>
      <c r="G30" s="214">
        <f t="shared" si="1"/>
        <v>93.22811095834102</v>
      </c>
    </row>
    <row r="31" spans="1:7" x14ac:dyDescent="0.25">
      <c r="A31" s="153">
        <v>20</v>
      </c>
      <c r="B31" s="158" t="s">
        <v>278</v>
      </c>
      <c r="C31" s="157" t="s">
        <v>279</v>
      </c>
      <c r="D31" s="215">
        <f>'приложение 4'!G302</f>
        <v>4182.6499999999996</v>
      </c>
      <c r="E31" s="215">
        <f>'приложение 4'!H302</f>
        <v>4182.6499999999996</v>
      </c>
      <c r="F31" s="215">
        <f>'приложение 4'!I302</f>
        <v>4182.01</v>
      </c>
      <c r="G31" s="214">
        <f t="shared" si="1"/>
        <v>99.984698695802905</v>
      </c>
    </row>
    <row r="32" spans="1:7" x14ac:dyDescent="0.25">
      <c r="A32" s="153">
        <v>21</v>
      </c>
      <c r="B32" s="156" t="s">
        <v>49</v>
      </c>
      <c r="C32" s="157" t="s">
        <v>111</v>
      </c>
      <c r="D32" s="215">
        <f>'приложение 4'!G303</f>
        <v>782</v>
      </c>
      <c r="E32" s="215">
        <f>'приложение 4'!H303</f>
        <v>1322</v>
      </c>
      <c r="F32" s="215">
        <f>'приложение 4'!I303</f>
        <v>1322</v>
      </c>
      <c r="G32" s="214">
        <f t="shared" si="1"/>
        <v>100</v>
      </c>
    </row>
    <row r="33" spans="1:7" ht="34.5" customHeight="1" x14ac:dyDescent="0.25">
      <c r="A33" s="153">
        <v>22</v>
      </c>
      <c r="B33" s="154" t="s">
        <v>112</v>
      </c>
      <c r="C33" s="155" t="s">
        <v>113</v>
      </c>
      <c r="D33" s="161">
        <f>D35+D36+D34+D37</f>
        <v>207642.65</v>
      </c>
      <c r="E33" s="161">
        <f t="shared" ref="E33:F33" si="5">E35+E36+E34+E37</f>
        <v>207642.65000000002</v>
      </c>
      <c r="F33" s="161">
        <f t="shared" si="5"/>
        <v>205967.61000000002</v>
      </c>
      <c r="G33" s="214">
        <f t="shared" si="1"/>
        <v>99.19330638479137</v>
      </c>
    </row>
    <row r="34" spans="1:7" ht="34.5" customHeight="1" x14ac:dyDescent="0.25">
      <c r="A34" s="153">
        <v>23</v>
      </c>
      <c r="B34" s="158" t="s">
        <v>408</v>
      </c>
      <c r="C34" s="159" t="s">
        <v>409</v>
      </c>
      <c r="D34" s="215">
        <f>'приложение 4'!G83</f>
        <v>126785.31999999999</v>
      </c>
      <c r="E34" s="215">
        <f>'приложение 4'!H83</f>
        <v>126785.32</v>
      </c>
      <c r="F34" s="215">
        <f>'приложение 4'!I83</f>
        <v>126785.32</v>
      </c>
      <c r="G34" s="214">
        <f t="shared" si="1"/>
        <v>100</v>
      </c>
    </row>
    <row r="35" spans="1:7" x14ac:dyDescent="0.25">
      <c r="A35" s="153">
        <v>24</v>
      </c>
      <c r="B35" s="156" t="s">
        <v>114</v>
      </c>
      <c r="C35" s="157" t="s">
        <v>115</v>
      </c>
      <c r="D35" s="215">
        <f>'приложение 4'!G314</f>
        <v>68704.600000000006</v>
      </c>
      <c r="E35" s="215">
        <f>'приложение 4'!H314</f>
        <v>68704.600000000006</v>
      </c>
      <c r="F35" s="215">
        <f>'приложение 4'!I314</f>
        <v>68686.39</v>
      </c>
      <c r="G35" s="214">
        <f t="shared" si="1"/>
        <v>99.973495224482775</v>
      </c>
    </row>
    <row r="36" spans="1:7" x14ac:dyDescent="0.25">
      <c r="A36" s="153">
        <v>25</v>
      </c>
      <c r="B36" s="158" t="s">
        <v>304</v>
      </c>
      <c r="C36" s="159" t="s">
        <v>305</v>
      </c>
      <c r="D36" s="215">
        <f>'приложение 4'!G92</f>
        <v>3022.73</v>
      </c>
      <c r="E36" s="215">
        <f>'приложение 4'!H92</f>
        <v>3022.73</v>
      </c>
      <c r="F36" s="215">
        <f>'приложение 4'!I92</f>
        <v>2865.77</v>
      </c>
      <c r="G36" s="214">
        <f t="shared" si="1"/>
        <v>94.807343030968696</v>
      </c>
    </row>
    <row r="37" spans="1:7" ht="31.5" x14ac:dyDescent="0.25">
      <c r="A37" s="153">
        <v>26</v>
      </c>
      <c r="B37" s="158" t="s">
        <v>468</v>
      </c>
      <c r="C37" s="159" t="s">
        <v>469</v>
      </c>
      <c r="D37" s="215">
        <f>'приложение 4'!G104</f>
        <v>9130</v>
      </c>
      <c r="E37" s="215">
        <f>'приложение 4'!H104</f>
        <v>9130</v>
      </c>
      <c r="F37" s="215">
        <f>'приложение 4'!I104</f>
        <v>7630.13</v>
      </c>
      <c r="G37" s="214">
        <f t="shared" si="1"/>
        <v>83.57207009857612</v>
      </c>
    </row>
    <row r="38" spans="1:7" x14ac:dyDescent="0.25">
      <c r="A38" s="153">
        <v>27</v>
      </c>
      <c r="B38" s="57" t="s">
        <v>530</v>
      </c>
      <c r="C38" s="162" t="s">
        <v>523</v>
      </c>
      <c r="D38" s="217">
        <f>D39</f>
        <v>487.45</v>
      </c>
      <c r="E38" s="217">
        <f t="shared" ref="E38:F38" si="6">E39</f>
        <v>487.45</v>
      </c>
      <c r="F38" s="217">
        <f t="shared" si="6"/>
        <v>0</v>
      </c>
      <c r="G38" s="214">
        <f t="shared" si="1"/>
        <v>0</v>
      </c>
    </row>
    <row r="39" spans="1:7" ht="30" x14ac:dyDescent="0.25">
      <c r="A39" s="153">
        <v>28</v>
      </c>
      <c r="B39" s="149" t="s">
        <v>531</v>
      </c>
      <c r="C39" s="159" t="s">
        <v>524</v>
      </c>
      <c r="D39" s="215">
        <f>'приложение 4'!G324</f>
        <v>487.45</v>
      </c>
      <c r="E39" s="215">
        <f>'приложение 4'!H324</f>
        <v>487.45</v>
      </c>
      <c r="F39" s="215">
        <f>'приложение 4'!I324</f>
        <v>0</v>
      </c>
      <c r="G39" s="214">
        <f t="shared" si="1"/>
        <v>0</v>
      </c>
    </row>
    <row r="40" spans="1:7" ht="31.5" customHeight="1" x14ac:dyDescent="0.25">
      <c r="A40" s="153">
        <v>29</v>
      </c>
      <c r="B40" s="154" t="s">
        <v>116</v>
      </c>
      <c r="C40" s="155" t="s">
        <v>117</v>
      </c>
      <c r="D40" s="161">
        <f>D41+D42+D44+D45+D43</f>
        <v>674045.40099999995</v>
      </c>
      <c r="E40" s="161">
        <f t="shared" ref="E40:F40" si="7">E41+E42+E44+E45+E43</f>
        <v>677448.62900000007</v>
      </c>
      <c r="F40" s="161">
        <f t="shared" si="7"/>
        <v>651917.54500000004</v>
      </c>
      <c r="G40" s="214">
        <f t="shared" si="1"/>
        <v>96.231288557231693</v>
      </c>
    </row>
    <row r="41" spans="1:7" x14ac:dyDescent="0.25">
      <c r="A41" s="153">
        <v>30</v>
      </c>
      <c r="B41" s="156" t="s">
        <v>118</v>
      </c>
      <c r="C41" s="157" t="s">
        <v>119</v>
      </c>
      <c r="D41" s="215">
        <f>'приложение 4'!G503</f>
        <v>188023.36000000002</v>
      </c>
      <c r="E41" s="215">
        <f>'приложение 4'!H503</f>
        <v>189323.36000000002</v>
      </c>
      <c r="F41" s="215">
        <f>'приложение 4'!I503</f>
        <v>186012.58000000005</v>
      </c>
      <c r="G41" s="214">
        <f t="shared" si="1"/>
        <v>98.251256474636847</v>
      </c>
    </row>
    <row r="42" spans="1:7" x14ac:dyDescent="0.25">
      <c r="A42" s="153">
        <v>31</v>
      </c>
      <c r="B42" s="156" t="s">
        <v>67</v>
      </c>
      <c r="C42" s="157" t="s">
        <v>120</v>
      </c>
      <c r="D42" s="215">
        <f>'приложение 4'!G527+'приложение 4'!G333</f>
        <v>401439.99</v>
      </c>
      <c r="E42" s="215">
        <f>'приложение 4'!H527+'приложение 4'!H333</f>
        <v>403540.21800000005</v>
      </c>
      <c r="F42" s="215">
        <f>'приложение 4'!I527+'приложение 4'!I333</f>
        <v>382622.86000000004</v>
      </c>
      <c r="G42" s="214">
        <f t="shared" si="1"/>
        <v>94.816536972778266</v>
      </c>
    </row>
    <row r="43" spans="1:7" x14ac:dyDescent="0.25">
      <c r="A43" s="153">
        <v>32</v>
      </c>
      <c r="B43" s="158" t="s">
        <v>166</v>
      </c>
      <c r="C43" s="157" t="s">
        <v>172</v>
      </c>
      <c r="D43" s="215">
        <f>'приложение 4'!G569+'приложение 4'!G633</f>
        <v>55766.137000000002</v>
      </c>
      <c r="E43" s="215">
        <f>'приложение 4'!H569+'приложение 4'!H633</f>
        <v>55766.137000000002</v>
      </c>
      <c r="F43" s="215">
        <f>'приложение 4'!I569+'приложение 4'!I633</f>
        <v>54993.75499999999</v>
      </c>
      <c r="G43" s="214">
        <f t="shared" si="1"/>
        <v>98.614962338165881</v>
      </c>
    </row>
    <row r="44" spans="1:7" x14ac:dyDescent="0.25">
      <c r="A44" s="153">
        <v>33</v>
      </c>
      <c r="B44" s="156" t="s">
        <v>167</v>
      </c>
      <c r="C44" s="157" t="s">
        <v>121</v>
      </c>
      <c r="D44" s="215">
        <f>'приложение 4'!G654</f>
        <v>6124.7639999999992</v>
      </c>
      <c r="E44" s="215">
        <f>'приложение 4'!H654</f>
        <v>6124.7639999999992</v>
      </c>
      <c r="F44" s="215">
        <f>'приложение 4'!I654</f>
        <v>6016.4</v>
      </c>
      <c r="G44" s="214">
        <f t="shared" si="1"/>
        <v>98.230723665434297</v>
      </c>
    </row>
    <row r="45" spans="1:7" x14ac:dyDescent="0.25">
      <c r="A45" s="153">
        <v>34</v>
      </c>
      <c r="B45" s="156" t="s">
        <v>55</v>
      </c>
      <c r="C45" s="157" t="s">
        <v>122</v>
      </c>
      <c r="D45" s="215">
        <f>'приложение 4'!G591+'приложение 4'!G339</f>
        <v>22691.149999999998</v>
      </c>
      <c r="E45" s="215">
        <f>'приложение 4'!H591+'приложение 4'!H339</f>
        <v>22694.149999999998</v>
      </c>
      <c r="F45" s="215">
        <f>'приложение 4'!I591+'приложение 4'!I339</f>
        <v>22271.949999999997</v>
      </c>
      <c r="G45" s="214">
        <f t="shared" si="1"/>
        <v>98.139608665669343</v>
      </c>
    </row>
    <row r="46" spans="1:7" ht="32.25" customHeight="1" x14ac:dyDescent="0.25">
      <c r="A46" s="153">
        <v>35</v>
      </c>
      <c r="B46" s="154" t="s">
        <v>123</v>
      </c>
      <c r="C46" s="155" t="s">
        <v>124</v>
      </c>
      <c r="D46" s="161">
        <f>D47+D48</f>
        <v>83376.67955999999</v>
      </c>
      <c r="E46" s="161">
        <f t="shared" ref="E46:F46" si="8">E47+E48</f>
        <v>83376.679999999993</v>
      </c>
      <c r="F46" s="161">
        <f t="shared" si="8"/>
        <v>81725.81</v>
      </c>
      <c r="G46" s="214">
        <f t="shared" si="1"/>
        <v>98.019985924121713</v>
      </c>
    </row>
    <row r="47" spans="1:7" x14ac:dyDescent="0.25">
      <c r="A47" s="153">
        <v>36</v>
      </c>
      <c r="B47" s="156" t="s">
        <v>70</v>
      </c>
      <c r="C47" s="157" t="s">
        <v>125</v>
      </c>
      <c r="D47" s="215">
        <f>'приложение 4'!G681</f>
        <v>79707.675559999989</v>
      </c>
      <c r="E47" s="215">
        <f>'приложение 4'!H681</f>
        <v>79707.679999999993</v>
      </c>
      <c r="F47" s="215">
        <f>'приложение 4'!I681</f>
        <v>78168.37999999999</v>
      </c>
      <c r="G47" s="214">
        <f t="shared" si="1"/>
        <v>98.068818462662563</v>
      </c>
    </row>
    <row r="48" spans="1:7" x14ac:dyDescent="0.25">
      <c r="A48" s="153">
        <v>37</v>
      </c>
      <c r="B48" s="156" t="s">
        <v>75</v>
      </c>
      <c r="C48" s="157" t="s">
        <v>126</v>
      </c>
      <c r="D48" s="215">
        <f>'приложение 4'!G722</f>
        <v>3669.0039999999999</v>
      </c>
      <c r="E48" s="215">
        <f>'приложение 4'!H722</f>
        <v>3669</v>
      </c>
      <c r="F48" s="215">
        <f>'приложение 4'!I722</f>
        <v>3557.4300000000003</v>
      </c>
      <c r="G48" s="214">
        <f t="shared" si="1"/>
        <v>96.959116925592809</v>
      </c>
    </row>
    <row r="49" spans="1:7" ht="31.5" customHeight="1" x14ac:dyDescent="0.25">
      <c r="A49" s="153">
        <v>38</v>
      </c>
      <c r="B49" s="154" t="s">
        <v>127</v>
      </c>
      <c r="C49" s="155" t="s">
        <v>128</v>
      </c>
      <c r="D49" s="161">
        <f>D50+D51+D53+D52</f>
        <v>21419.08</v>
      </c>
      <c r="E49" s="161">
        <f t="shared" ref="E49:F49" si="9">E50+E51+E53+E52</f>
        <v>21419.08</v>
      </c>
      <c r="F49" s="161">
        <f t="shared" si="9"/>
        <v>16050.995999999999</v>
      </c>
      <c r="G49" s="214">
        <f t="shared" si="1"/>
        <v>74.937840467471048</v>
      </c>
    </row>
    <row r="50" spans="1:7" x14ac:dyDescent="0.25">
      <c r="A50" s="153">
        <v>39</v>
      </c>
      <c r="B50" s="156" t="s">
        <v>78</v>
      </c>
      <c r="C50" s="157" t="s">
        <v>129</v>
      </c>
      <c r="D50" s="215">
        <f>'приложение 4'!G351</f>
        <v>933.47</v>
      </c>
      <c r="E50" s="215">
        <f>'приложение 4'!H351</f>
        <v>933.47</v>
      </c>
      <c r="F50" s="215">
        <f>'приложение 4'!I351</f>
        <v>925.07</v>
      </c>
      <c r="G50" s="214">
        <f t="shared" si="1"/>
        <v>99.100131766419921</v>
      </c>
    </row>
    <row r="51" spans="1:7" x14ac:dyDescent="0.25">
      <c r="A51" s="153">
        <v>40</v>
      </c>
      <c r="B51" s="156" t="s">
        <v>80</v>
      </c>
      <c r="C51" s="157" t="s">
        <v>130</v>
      </c>
      <c r="D51" s="215">
        <f>'приложение 4'!G612+'приложение 4'!G354</f>
        <v>14959.08</v>
      </c>
      <c r="E51" s="215">
        <f>'приложение 4'!H612+'приложение 4'!H354</f>
        <v>14959.08</v>
      </c>
      <c r="F51" s="215">
        <f>'приложение 4'!I612+'приложение 4'!I354</f>
        <v>13457.61</v>
      </c>
      <c r="G51" s="214">
        <f t="shared" si="1"/>
        <v>89.962818569056395</v>
      </c>
    </row>
    <row r="52" spans="1:7" x14ac:dyDescent="0.25">
      <c r="A52" s="153">
        <v>41</v>
      </c>
      <c r="B52" s="158" t="s">
        <v>60</v>
      </c>
      <c r="C52" s="157">
        <v>1004</v>
      </c>
      <c r="D52" s="215">
        <f>'приложение 4'!G623+'приложение 4'!G360</f>
        <v>4234.4000000000005</v>
      </c>
      <c r="E52" s="215">
        <f>'приложение 4'!H623+'приложение 4'!H360</f>
        <v>4234.3999999999996</v>
      </c>
      <c r="F52" s="215">
        <f>'приложение 4'!I623+'приложение 4'!I360</f>
        <v>477.13</v>
      </c>
      <c r="G52" s="214">
        <f t="shared" si="1"/>
        <v>11.267948233515964</v>
      </c>
    </row>
    <row r="53" spans="1:7" x14ac:dyDescent="0.25">
      <c r="A53" s="153">
        <v>42</v>
      </c>
      <c r="B53" s="156" t="s">
        <v>81</v>
      </c>
      <c r="C53" s="157" t="s">
        <v>131</v>
      </c>
      <c r="D53" s="218">
        <f>'приложение 4'!G366+'приложение 4'!G754</f>
        <v>1292.1300000000001</v>
      </c>
      <c r="E53" s="218">
        <f>'приложение 4'!H366+'приложение 4'!H754</f>
        <v>1292.1300000000001</v>
      </c>
      <c r="F53" s="218">
        <f>'приложение 4'!I366+'приложение 4'!I754</f>
        <v>1191.1859999999999</v>
      </c>
      <c r="G53" s="214">
        <f t="shared" si="1"/>
        <v>92.187782963014541</v>
      </c>
    </row>
    <row r="54" spans="1:7" x14ac:dyDescent="0.25">
      <c r="A54" s="153">
        <v>43</v>
      </c>
      <c r="B54" s="163" t="s">
        <v>262</v>
      </c>
      <c r="C54" s="164">
        <v>1100</v>
      </c>
      <c r="D54" s="213">
        <f>D55</f>
        <v>119.47</v>
      </c>
      <c r="E54" s="213">
        <f t="shared" ref="E54:F54" si="10">E55</f>
        <v>119.47</v>
      </c>
      <c r="F54" s="213">
        <f t="shared" si="10"/>
        <v>109.82</v>
      </c>
      <c r="G54" s="214">
        <f t="shared" si="1"/>
        <v>91.922658407968527</v>
      </c>
    </row>
    <row r="55" spans="1:7" x14ac:dyDescent="0.25">
      <c r="A55" s="153">
        <v>44</v>
      </c>
      <c r="B55" s="158" t="s">
        <v>258</v>
      </c>
      <c r="C55" s="157">
        <v>1101</v>
      </c>
      <c r="D55" s="218">
        <f>'приложение 4'!G742</f>
        <v>119.47</v>
      </c>
      <c r="E55" s="218">
        <f>'приложение 4'!H742</f>
        <v>119.47</v>
      </c>
      <c r="F55" s="218">
        <f>'приложение 4'!I742</f>
        <v>109.82</v>
      </c>
      <c r="G55" s="214">
        <f t="shared" si="1"/>
        <v>91.922658407968527</v>
      </c>
    </row>
    <row r="56" spans="1:7" ht="31.5" x14ac:dyDescent="0.25">
      <c r="A56" s="153">
        <v>45</v>
      </c>
      <c r="B56" s="163" t="s">
        <v>489</v>
      </c>
      <c r="C56" s="164">
        <v>1300</v>
      </c>
      <c r="D56" s="213">
        <f>D57</f>
        <v>31</v>
      </c>
      <c r="E56" s="213">
        <f t="shared" ref="E56:F56" si="11">E57</f>
        <v>31</v>
      </c>
      <c r="F56" s="213">
        <f t="shared" si="11"/>
        <v>16.55</v>
      </c>
      <c r="G56" s="214">
        <f t="shared" si="1"/>
        <v>53.387096774193552</v>
      </c>
    </row>
    <row r="57" spans="1:7" x14ac:dyDescent="0.25">
      <c r="A57" s="153">
        <v>46</v>
      </c>
      <c r="B57" s="158" t="s">
        <v>490</v>
      </c>
      <c r="C57" s="157">
        <v>1301</v>
      </c>
      <c r="D57" s="218">
        <f>'приложение 4'!G115</f>
        <v>31</v>
      </c>
      <c r="E57" s="218">
        <f>'приложение 4'!H115</f>
        <v>31</v>
      </c>
      <c r="F57" s="218">
        <f>'приложение 4'!I115</f>
        <v>16.55</v>
      </c>
      <c r="G57" s="214">
        <f t="shared" si="1"/>
        <v>53.387096774193552</v>
      </c>
    </row>
    <row r="58" spans="1:7" ht="63" x14ac:dyDescent="0.25">
      <c r="A58" s="153">
        <v>47</v>
      </c>
      <c r="B58" s="154" t="s">
        <v>168</v>
      </c>
      <c r="C58" s="155" t="s">
        <v>132</v>
      </c>
      <c r="D58" s="213">
        <f>D59+D60</f>
        <v>102759.66</v>
      </c>
      <c r="E58" s="213">
        <f t="shared" ref="E58:F58" si="12">E59+E60</f>
        <v>102759.66</v>
      </c>
      <c r="F58" s="213">
        <f t="shared" si="12"/>
        <v>100712.54999999999</v>
      </c>
      <c r="G58" s="214">
        <f t="shared" si="1"/>
        <v>98.007866121783564</v>
      </c>
    </row>
    <row r="59" spans="1:7" x14ac:dyDescent="0.25">
      <c r="A59" s="153">
        <v>48</v>
      </c>
      <c r="B59" s="156" t="s">
        <v>169</v>
      </c>
      <c r="C59" s="157" t="s">
        <v>133</v>
      </c>
      <c r="D59" s="218">
        <f>'приложение 4'!G122</f>
        <v>33022.589999999997</v>
      </c>
      <c r="E59" s="218">
        <f>'приложение 4'!H122</f>
        <v>33022.589999999997</v>
      </c>
      <c r="F59" s="218">
        <f>'приложение 4'!I122</f>
        <v>33022.589999999997</v>
      </c>
      <c r="G59" s="214">
        <f t="shared" si="1"/>
        <v>100</v>
      </c>
    </row>
    <row r="60" spans="1:7" x14ac:dyDescent="0.25">
      <c r="A60" s="153">
        <v>49</v>
      </c>
      <c r="B60" s="156" t="s">
        <v>30</v>
      </c>
      <c r="C60" s="157" t="s">
        <v>134</v>
      </c>
      <c r="D60" s="218">
        <f>'приложение 4'!G131</f>
        <v>69737.070000000007</v>
      </c>
      <c r="E60" s="218">
        <f>'приложение 4'!H131</f>
        <v>69737.070000000007</v>
      </c>
      <c r="F60" s="218">
        <f>'приложение 4'!I131</f>
        <v>67689.959999999992</v>
      </c>
      <c r="G60" s="214">
        <f t="shared" si="1"/>
        <v>97.064531102324764</v>
      </c>
    </row>
    <row r="61" spans="1:7" ht="30.75" customHeight="1" x14ac:dyDescent="0.25">
      <c r="A61" s="241" t="s">
        <v>135</v>
      </c>
      <c r="B61" s="241"/>
      <c r="C61" s="155" t="s">
        <v>136</v>
      </c>
      <c r="D61" s="213">
        <f>D12+D21+D23+D26+D33+D40+D46+D49+D54+D58+D56+D38</f>
        <v>1286742.1472799999</v>
      </c>
      <c r="E61" s="213">
        <f t="shared" ref="E61:F61" si="13">E12+E21+E23+E26+E33+E40+E46+E49+E54+E58+E56+E38</f>
        <v>1290747.719</v>
      </c>
      <c r="F61" s="213">
        <f t="shared" si="13"/>
        <v>1246082.2155800003</v>
      </c>
      <c r="G61" s="214">
        <f t="shared" si="1"/>
        <v>96.539563637222301</v>
      </c>
    </row>
    <row r="63" spans="1:7" x14ac:dyDescent="0.25">
      <c r="D63" s="20">
        <f>D61-'приложение 4'!G809</f>
        <v>0</v>
      </c>
      <c r="E63" s="20">
        <f>E61-'приложение 4'!H809</f>
        <v>0</v>
      </c>
      <c r="F63" s="20">
        <f>F61-'приложение 4'!I809</f>
        <v>0</v>
      </c>
    </row>
  </sheetData>
  <mergeCells count="2">
    <mergeCell ref="A61:B61"/>
    <mergeCell ref="A7:G7"/>
  </mergeCells>
  <pageMargins left="0.31496062992125984" right="0.19685039370078741" top="0.74803149606299213" bottom="0.31496062992125984" header="0.31496062992125984" footer="0.31496062992125984"/>
  <pageSetup paperSize="7" scale="8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16"/>
  <sheetViews>
    <sheetView topLeftCell="A771" zoomScale="85" zoomScaleNormal="85" zoomScaleSheetLayoutView="93" workbookViewId="0">
      <selection activeCell="B797" sqref="B797"/>
    </sheetView>
  </sheetViews>
  <sheetFormatPr defaultRowHeight="15" x14ac:dyDescent="0.25"/>
  <cols>
    <col min="1" max="1" width="7.85546875" style="54" customWidth="1"/>
    <col min="2" max="2" width="95.140625" style="229" customWidth="1"/>
    <col min="3" max="4" width="11.140625" style="226" customWidth="1"/>
    <col min="5" max="5" width="12.7109375" style="226" customWidth="1"/>
    <col min="6" max="6" width="9.140625" style="226" customWidth="1"/>
    <col min="7" max="7" width="15" style="230" customWidth="1"/>
    <col min="8" max="8" width="15.28515625" style="230" customWidth="1"/>
    <col min="9" max="9" width="16" style="230" customWidth="1"/>
    <col min="10" max="10" width="18.5703125" style="61" hidden="1" customWidth="1"/>
    <col min="11" max="11" width="12.28515625" style="61" hidden="1" customWidth="1"/>
    <col min="12" max="12" width="13.140625" style="61" hidden="1" customWidth="1"/>
    <col min="13" max="13" width="11.140625" style="54" hidden="1" customWidth="1"/>
    <col min="14" max="15" width="0" style="54" hidden="1" customWidth="1"/>
    <col min="16" max="16" width="12.85546875" style="54" customWidth="1"/>
    <col min="17" max="19" width="9.140625" style="54"/>
    <col min="20" max="20" width="15" style="54" bestFit="1" customWidth="1"/>
    <col min="21" max="16384" width="9.140625" style="54"/>
  </cols>
  <sheetData>
    <row r="1" spans="1:17" x14ac:dyDescent="0.25">
      <c r="H1" s="231" t="s">
        <v>550</v>
      </c>
      <c r="I1" s="231"/>
      <c r="J1" s="231"/>
      <c r="K1" s="231"/>
      <c r="L1" s="231"/>
      <c r="M1" s="231"/>
      <c r="N1" s="231"/>
      <c r="O1" s="231"/>
      <c r="P1" s="231"/>
    </row>
    <row r="2" spans="1:17" ht="21.75" customHeight="1" x14ac:dyDescent="0.25">
      <c r="H2" s="232" t="s">
        <v>155</v>
      </c>
      <c r="I2" s="232"/>
      <c r="J2" s="232"/>
      <c r="K2" s="232"/>
      <c r="L2" s="232"/>
      <c r="M2" s="232"/>
      <c r="N2" s="232"/>
      <c r="O2" s="232"/>
      <c r="P2" s="232"/>
      <c r="Q2" s="232"/>
    </row>
    <row r="3" spans="1:17" ht="15.75" customHeight="1" x14ac:dyDescent="0.25">
      <c r="H3" s="232" t="s">
        <v>253</v>
      </c>
      <c r="I3" s="232"/>
      <c r="J3" s="232"/>
      <c r="K3" s="232"/>
      <c r="L3" s="232"/>
      <c r="M3" s="232"/>
      <c r="N3" s="232"/>
      <c r="O3" s="232"/>
      <c r="P3" s="232"/>
      <c r="Q3" s="232"/>
    </row>
    <row r="4" spans="1:17" ht="19.5" customHeight="1" x14ac:dyDescent="0.25">
      <c r="H4" s="232" t="s">
        <v>157</v>
      </c>
      <c r="I4" s="232"/>
      <c r="J4" s="232"/>
      <c r="K4" s="232"/>
      <c r="L4" s="232"/>
      <c r="M4" s="232"/>
      <c r="N4" s="232"/>
      <c r="O4" s="232"/>
      <c r="P4" s="232"/>
      <c r="Q4" s="232"/>
    </row>
    <row r="5" spans="1:17" ht="19.5" customHeight="1" x14ac:dyDescent="0.25">
      <c r="F5" s="233"/>
    </row>
    <row r="7" spans="1:17" x14ac:dyDescent="0.25">
      <c r="A7" s="243" t="s">
        <v>584</v>
      </c>
      <c r="B7" s="243"/>
      <c r="C7" s="243"/>
      <c r="D7" s="243"/>
      <c r="E7" s="243"/>
      <c r="F7" s="243"/>
      <c r="G7" s="243"/>
      <c r="H7" s="243"/>
      <c r="I7" s="243"/>
      <c r="J7" s="243"/>
      <c r="K7" s="243"/>
      <c r="L7" s="243"/>
      <c r="M7" s="243"/>
      <c r="N7" s="243"/>
      <c r="O7" s="243"/>
      <c r="P7" s="243"/>
    </row>
    <row r="8" spans="1:17" x14ac:dyDescent="0.25">
      <c r="A8" s="243"/>
      <c r="B8" s="243"/>
      <c r="C8" s="243"/>
      <c r="D8" s="243"/>
      <c r="E8" s="243"/>
      <c r="F8" s="243"/>
      <c r="G8" s="243"/>
      <c r="H8" s="243"/>
      <c r="I8" s="243"/>
    </row>
    <row r="9" spans="1:17" x14ac:dyDescent="0.25">
      <c r="A9" s="194"/>
      <c r="B9" s="194"/>
      <c r="C9" s="194"/>
      <c r="D9" s="194"/>
      <c r="E9" s="194"/>
      <c r="F9" s="194"/>
      <c r="G9" s="194"/>
      <c r="H9" s="194"/>
      <c r="I9" s="194"/>
    </row>
    <row r="10" spans="1:17" x14ac:dyDescent="0.25">
      <c r="A10" s="25"/>
      <c r="B10" s="26"/>
      <c r="C10" s="27"/>
      <c r="D10" s="27"/>
      <c r="E10" s="27"/>
      <c r="H10" s="24"/>
      <c r="P10" s="24" t="s">
        <v>0</v>
      </c>
    </row>
    <row r="11" spans="1:17" ht="60" x14ac:dyDescent="0.25">
      <c r="A11" s="28" t="s">
        <v>1</v>
      </c>
      <c r="B11" s="28" t="s">
        <v>2</v>
      </c>
      <c r="C11" s="29" t="s">
        <v>3</v>
      </c>
      <c r="D11" s="29" t="s">
        <v>4</v>
      </c>
      <c r="E11" s="29" t="s">
        <v>5</v>
      </c>
      <c r="F11" s="29" t="s">
        <v>6</v>
      </c>
      <c r="G11" s="30" t="s">
        <v>576</v>
      </c>
      <c r="H11" s="30" t="s">
        <v>577</v>
      </c>
      <c r="I11" s="30" t="s">
        <v>578</v>
      </c>
      <c r="J11" s="193" t="s">
        <v>579</v>
      </c>
      <c r="P11" s="193" t="s">
        <v>579</v>
      </c>
    </row>
    <row r="12" spans="1:17" x14ac:dyDescent="0.25">
      <c r="A12" s="31"/>
      <c r="B12" s="29" t="s">
        <v>7</v>
      </c>
      <c r="C12" s="29" t="s">
        <v>8</v>
      </c>
      <c r="D12" s="29" t="s">
        <v>9</v>
      </c>
      <c r="E12" s="29" t="s">
        <v>10</v>
      </c>
      <c r="F12" s="29" t="s">
        <v>11</v>
      </c>
      <c r="G12" s="30" t="s">
        <v>12</v>
      </c>
      <c r="H12" s="234">
        <v>7</v>
      </c>
      <c r="I12" s="234">
        <v>8</v>
      </c>
      <c r="P12" s="223">
        <v>9</v>
      </c>
    </row>
    <row r="13" spans="1:17" ht="34.5" customHeight="1" x14ac:dyDescent="0.25">
      <c r="A13" s="198">
        <v>1</v>
      </c>
      <c r="B13" s="235" t="s">
        <v>234</v>
      </c>
      <c r="C13" s="49" t="s">
        <v>164</v>
      </c>
      <c r="D13" s="48"/>
      <c r="E13" s="48"/>
      <c r="F13" s="48"/>
      <c r="G13" s="51">
        <f>G14+G51+G65+G121+G82+G58+G114</f>
        <v>264330.67</v>
      </c>
      <c r="H13" s="51">
        <f>H14+H51+H65+H121+H82+H58+H114</f>
        <v>264330.67</v>
      </c>
      <c r="I13" s="51">
        <f>I14+I51+I65+I121+I82+I58+I114</f>
        <v>260515.44999999995</v>
      </c>
      <c r="J13" s="224"/>
      <c r="K13" s="224"/>
      <c r="L13" s="224"/>
      <c r="M13" s="226"/>
      <c r="N13" s="226"/>
      <c r="O13" s="226"/>
      <c r="P13" s="225">
        <f>I13/H13*100</f>
        <v>98.556648761189905</v>
      </c>
    </row>
    <row r="14" spans="1:17" x14ac:dyDescent="0.25">
      <c r="A14" s="198">
        <v>2</v>
      </c>
      <c r="B14" s="62" t="s">
        <v>87</v>
      </c>
      <c r="C14" s="195" t="s">
        <v>164</v>
      </c>
      <c r="D14" s="195" t="s">
        <v>88</v>
      </c>
      <c r="E14" s="198"/>
      <c r="F14" s="198"/>
      <c r="G14" s="32">
        <f>G15+G42</f>
        <v>14159.249999999998</v>
      </c>
      <c r="H14" s="32">
        <f>H15+H42</f>
        <v>14159.249999999998</v>
      </c>
      <c r="I14" s="32">
        <f>I15+I42</f>
        <v>14062.42</v>
      </c>
      <c r="J14" s="224"/>
      <c r="K14" s="224"/>
      <c r="L14" s="224"/>
      <c r="M14" s="226"/>
      <c r="N14" s="226"/>
      <c r="O14" s="226"/>
      <c r="P14" s="225">
        <f t="shared" ref="P14:P77" si="0">I14/H14*100</f>
        <v>99.31613609477904</v>
      </c>
    </row>
    <row r="15" spans="1:17" ht="30" x14ac:dyDescent="0.25">
      <c r="A15" s="198">
        <v>3</v>
      </c>
      <c r="B15" s="208" t="s">
        <v>13</v>
      </c>
      <c r="C15" s="195" t="s">
        <v>164</v>
      </c>
      <c r="D15" s="195" t="s">
        <v>94</v>
      </c>
      <c r="E15" s="198"/>
      <c r="F15" s="198"/>
      <c r="G15" s="32">
        <f>G16+G37</f>
        <v>14085.949999999999</v>
      </c>
      <c r="H15" s="32">
        <f t="shared" ref="H15:I15" si="1">H16+H37</f>
        <v>14085.949999999999</v>
      </c>
      <c r="I15" s="32">
        <f t="shared" si="1"/>
        <v>13989.12</v>
      </c>
      <c r="J15" s="224"/>
      <c r="K15" s="224"/>
      <c r="L15" s="224"/>
      <c r="M15" s="226"/>
      <c r="N15" s="226"/>
      <c r="O15" s="226"/>
      <c r="P15" s="225">
        <f t="shared" si="0"/>
        <v>99.312577426442672</v>
      </c>
    </row>
    <row r="16" spans="1:17" x14ac:dyDescent="0.25">
      <c r="A16" s="198">
        <v>4</v>
      </c>
      <c r="B16" s="199" t="s">
        <v>14</v>
      </c>
      <c r="C16" s="195" t="s">
        <v>164</v>
      </c>
      <c r="D16" s="195" t="s">
        <v>94</v>
      </c>
      <c r="E16" s="195" t="s">
        <v>173</v>
      </c>
      <c r="F16" s="198"/>
      <c r="G16" s="32">
        <f>G17</f>
        <v>14084.949999999999</v>
      </c>
      <c r="H16" s="32">
        <f t="shared" ref="H16:I16" si="2">H17</f>
        <v>14084.949999999999</v>
      </c>
      <c r="I16" s="32">
        <f t="shared" si="2"/>
        <v>13988.12</v>
      </c>
      <c r="J16" s="224"/>
      <c r="K16" s="224"/>
      <c r="L16" s="224"/>
      <c r="M16" s="226"/>
      <c r="N16" s="226"/>
      <c r="O16" s="226"/>
      <c r="P16" s="225">
        <f t="shared" si="0"/>
        <v>99.312528620974888</v>
      </c>
    </row>
    <row r="17" spans="1:20" x14ac:dyDescent="0.25">
      <c r="A17" s="198">
        <v>5</v>
      </c>
      <c r="B17" s="199" t="s">
        <v>15</v>
      </c>
      <c r="C17" s="195" t="s">
        <v>164</v>
      </c>
      <c r="D17" s="195" t="s">
        <v>94</v>
      </c>
      <c r="E17" s="195" t="s">
        <v>174</v>
      </c>
      <c r="F17" s="198"/>
      <c r="G17" s="32">
        <f>G18+G25+G34+G31+G28</f>
        <v>14084.949999999999</v>
      </c>
      <c r="H17" s="32">
        <f t="shared" ref="H17:I17" si="3">H18+H25+H34+H31+H28</f>
        <v>14084.949999999999</v>
      </c>
      <c r="I17" s="32">
        <f t="shared" si="3"/>
        <v>13988.12</v>
      </c>
      <c r="J17" s="77"/>
      <c r="K17" s="224"/>
      <c r="L17" s="224"/>
      <c r="M17" s="226"/>
      <c r="N17" s="226"/>
      <c r="O17" s="226"/>
      <c r="P17" s="225">
        <f t="shared" si="0"/>
        <v>99.312528620974888</v>
      </c>
    </row>
    <row r="18" spans="1:20" ht="60" x14ac:dyDescent="0.25">
      <c r="A18" s="198">
        <v>6</v>
      </c>
      <c r="B18" s="203" t="s">
        <v>401</v>
      </c>
      <c r="C18" s="195" t="s">
        <v>164</v>
      </c>
      <c r="D18" s="195" t="s">
        <v>94</v>
      </c>
      <c r="E18" s="195" t="s">
        <v>175</v>
      </c>
      <c r="F18" s="198"/>
      <c r="G18" s="32">
        <f>G19+G21+G23</f>
        <v>11045.55</v>
      </c>
      <c r="H18" s="32">
        <f t="shared" ref="H18:I18" si="4">H19+H21+H23</f>
        <v>11045.55</v>
      </c>
      <c r="I18" s="32">
        <f t="shared" si="4"/>
        <v>10970.720000000001</v>
      </c>
      <c r="J18" s="224"/>
      <c r="K18" s="224"/>
      <c r="L18" s="224"/>
      <c r="M18" s="226"/>
      <c r="N18" s="226"/>
      <c r="O18" s="226"/>
      <c r="P18" s="225">
        <f t="shared" si="0"/>
        <v>99.322532603627721</v>
      </c>
    </row>
    <row r="19" spans="1:20" ht="45" x14ac:dyDescent="0.25">
      <c r="A19" s="198">
        <v>7</v>
      </c>
      <c r="B19" s="208" t="s">
        <v>16</v>
      </c>
      <c r="C19" s="195" t="s">
        <v>164</v>
      </c>
      <c r="D19" s="195" t="s">
        <v>94</v>
      </c>
      <c r="E19" s="195" t="s">
        <v>175</v>
      </c>
      <c r="F19" s="198">
        <v>100</v>
      </c>
      <c r="G19" s="32">
        <f>G20</f>
        <v>9590.34</v>
      </c>
      <c r="H19" s="32">
        <f t="shared" ref="H19:I19" si="5">H20</f>
        <v>9590.34</v>
      </c>
      <c r="I19" s="32">
        <f t="shared" si="5"/>
        <v>9519.91</v>
      </c>
      <c r="J19" s="224"/>
      <c r="K19" s="224"/>
      <c r="L19" s="224"/>
      <c r="M19" s="226"/>
      <c r="N19" s="226"/>
      <c r="O19" s="226"/>
      <c r="P19" s="225">
        <f t="shared" si="0"/>
        <v>99.265615191953572</v>
      </c>
    </row>
    <row r="20" spans="1:20" x14ac:dyDescent="0.25">
      <c r="A20" s="198">
        <v>8</v>
      </c>
      <c r="B20" s="208" t="s">
        <v>17</v>
      </c>
      <c r="C20" s="195" t="s">
        <v>164</v>
      </c>
      <c r="D20" s="195" t="s">
        <v>94</v>
      </c>
      <c r="E20" s="195" t="s">
        <v>175</v>
      </c>
      <c r="F20" s="198">
        <v>120</v>
      </c>
      <c r="G20" s="32">
        <f>9384.11+16.46+226.83-160+122.94</f>
        <v>9590.34</v>
      </c>
      <c r="H20" s="32">
        <v>9590.34</v>
      </c>
      <c r="I20" s="32">
        <v>9519.91</v>
      </c>
      <c r="J20" s="224">
        <v>226.83</v>
      </c>
      <c r="K20" s="224">
        <v>-160</v>
      </c>
      <c r="L20" s="224"/>
      <c r="M20" s="226"/>
      <c r="N20" s="226"/>
      <c r="O20" s="226"/>
      <c r="P20" s="225">
        <f t="shared" si="0"/>
        <v>99.265615191953572</v>
      </c>
    </row>
    <row r="21" spans="1:20" x14ac:dyDescent="0.25">
      <c r="A21" s="198">
        <v>9</v>
      </c>
      <c r="B21" s="208" t="s">
        <v>21</v>
      </c>
      <c r="C21" s="195" t="s">
        <v>164</v>
      </c>
      <c r="D21" s="195" t="s">
        <v>94</v>
      </c>
      <c r="E21" s="195" t="s">
        <v>175</v>
      </c>
      <c r="F21" s="198">
        <v>200</v>
      </c>
      <c r="G21" s="32">
        <f>G22</f>
        <v>1450.21</v>
      </c>
      <c r="H21" s="32">
        <f t="shared" ref="H21:I21" si="6">H22</f>
        <v>1450.21</v>
      </c>
      <c r="I21" s="32">
        <f t="shared" si="6"/>
        <v>1449.2</v>
      </c>
      <c r="J21" s="224"/>
      <c r="K21" s="224"/>
      <c r="L21" s="224"/>
      <c r="M21" s="226"/>
      <c r="N21" s="226"/>
      <c r="O21" s="226"/>
      <c r="P21" s="225">
        <f t="shared" si="0"/>
        <v>99.930354914115881</v>
      </c>
    </row>
    <row r="22" spans="1:20" x14ac:dyDescent="0.25">
      <c r="A22" s="198">
        <v>10</v>
      </c>
      <c r="B22" s="208" t="s">
        <v>22</v>
      </c>
      <c r="C22" s="195" t="s">
        <v>164</v>
      </c>
      <c r="D22" s="195" t="s">
        <v>94</v>
      </c>
      <c r="E22" s="195" t="s">
        <v>175</v>
      </c>
      <c r="F22" s="198">
        <v>240</v>
      </c>
      <c r="G22" s="32">
        <v>1450.21</v>
      </c>
      <c r="H22" s="32">
        <v>1450.21</v>
      </c>
      <c r="I22" s="32">
        <v>1449.2</v>
      </c>
      <c r="J22" s="224">
        <v>-200</v>
      </c>
      <c r="K22" s="224"/>
      <c r="L22" s="224"/>
      <c r="M22" s="226"/>
      <c r="N22" s="226"/>
      <c r="O22" s="226"/>
      <c r="P22" s="225">
        <f t="shared" si="0"/>
        <v>99.930354914115881</v>
      </c>
    </row>
    <row r="23" spans="1:20" x14ac:dyDescent="0.25">
      <c r="A23" s="198">
        <v>11</v>
      </c>
      <c r="B23" s="203" t="s">
        <v>33</v>
      </c>
      <c r="C23" s="195" t="s">
        <v>164</v>
      </c>
      <c r="D23" s="195" t="s">
        <v>94</v>
      </c>
      <c r="E23" s="195" t="s">
        <v>175</v>
      </c>
      <c r="F23" s="198">
        <v>800</v>
      </c>
      <c r="G23" s="32">
        <f>G24</f>
        <v>5</v>
      </c>
      <c r="H23" s="32">
        <f t="shared" ref="H23:I23" si="7">H24</f>
        <v>5</v>
      </c>
      <c r="I23" s="32">
        <f t="shared" si="7"/>
        <v>1.61</v>
      </c>
      <c r="J23" s="224"/>
      <c r="K23" s="224"/>
      <c r="L23" s="224"/>
      <c r="M23" s="226"/>
      <c r="N23" s="226"/>
      <c r="O23" s="226"/>
      <c r="P23" s="225">
        <f t="shared" si="0"/>
        <v>32.200000000000003</v>
      </c>
    </row>
    <row r="24" spans="1:20" x14ac:dyDescent="0.25">
      <c r="A24" s="198">
        <v>12</v>
      </c>
      <c r="B24" s="203" t="s">
        <v>82</v>
      </c>
      <c r="C24" s="195" t="s">
        <v>164</v>
      </c>
      <c r="D24" s="195" t="s">
        <v>94</v>
      </c>
      <c r="E24" s="195" t="s">
        <v>175</v>
      </c>
      <c r="F24" s="198">
        <v>850</v>
      </c>
      <c r="G24" s="32">
        <v>5</v>
      </c>
      <c r="H24" s="32">
        <v>5</v>
      </c>
      <c r="I24" s="32">
        <v>1.61</v>
      </c>
      <c r="J24" s="224"/>
      <c r="K24" s="224"/>
      <c r="L24" s="224"/>
      <c r="M24" s="226"/>
      <c r="N24" s="226"/>
      <c r="O24" s="226"/>
      <c r="P24" s="225">
        <f t="shared" si="0"/>
        <v>32.200000000000003</v>
      </c>
    </row>
    <row r="25" spans="1:20" ht="60" x14ac:dyDescent="0.25">
      <c r="A25" s="198">
        <v>13</v>
      </c>
      <c r="B25" s="203" t="s">
        <v>402</v>
      </c>
      <c r="C25" s="195" t="s">
        <v>164</v>
      </c>
      <c r="D25" s="195" t="s">
        <v>94</v>
      </c>
      <c r="E25" s="195" t="s">
        <v>403</v>
      </c>
      <c r="F25" s="198"/>
      <c r="G25" s="32">
        <f>G26</f>
        <v>1762.25</v>
      </c>
      <c r="H25" s="32">
        <f t="shared" ref="H25:I26" si="8">H26</f>
        <v>1762.25</v>
      </c>
      <c r="I25" s="32">
        <f t="shared" si="8"/>
        <v>1740.25</v>
      </c>
      <c r="J25" s="224"/>
      <c r="K25" s="224"/>
      <c r="L25" s="224"/>
      <c r="M25" s="226"/>
      <c r="N25" s="226"/>
      <c r="O25" s="226"/>
      <c r="P25" s="225">
        <f t="shared" si="0"/>
        <v>98.751595971059729</v>
      </c>
    </row>
    <row r="26" spans="1:20" ht="45" x14ac:dyDescent="0.25">
      <c r="A26" s="198">
        <v>14</v>
      </c>
      <c r="B26" s="208" t="s">
        <v>16</v>
      </c>
      <c r="C26" s="195" t="s">
        <v>164</v>
      </c>
      <c r="D26" s="195" t="s">
        <v>94</v>
      </c>
      <c r="E26" s="195" t="s">
        <v>403</v>
      </c>
      <c r="F26" s="198">
        <v>100</v>
      </c>
      <c r="G26" s="32">
        <f>G27</f>
        <v>1762.25</v>
      </c>
      <c r="H26" s="32">
        <f t="shared" si="8"/>
        <v>1762.25</v>
      </c>
      <c r="I26" s="32">
        <f t="shared" si="8"/>
        <v>1740.25</v>
      </c>
      <c r="J26" s="224"/>
      <c r="K26" s="224"/>
      <c r="L26" s="224"/>
      <c r="M26" s="226"/>
      <c r="N26" s="226"/>
      <c r="O26" s="226"/>
      <c r="P26" s="225">
        <f t="shared" si="0"/>
        <v>98.751595971059729</v>
      </c>
    </row>
    <row r="27" spans="1:20" x14ac:dyDescent="0.25">
      <c r="A27" s="198">
        <v>15</v>
      </c>
      <c r="B27" s="208" t="s">
        <v>17</v>
      </c>
      <c r="C27" s="195" t="s">
        <v>164</v>
      </c>
      <c r="D27" s="195" t="s">
        <v>94</v>
      </c>
      <c r="E27" s="195" t="s">
        <v>403</v>
      </c>
      <c r="F27" s="198">
        <v>120</v>
      </c>
      <c r="G27" s="32">
        <f>2277.25-515</f>
        <v>1762.25</v>
      </c>
      <c r="H27" s="32">
        <v>1762.25</v>
      </c>
      <c r="I27" s="32">
        <v>1740.25</v>
      </c>
      <c r="J27" s="224">
        <v>-515</v>
      </c>
      <c r="K27" s="224"/>
      <c r="L27" s="224"/>
      <c r="M27" s="226"/>
      <c r="N27" s="226"/>
      <c r="O27" s="226"/>
      <c r="P27" s="225">
        <f t="shared" si="0"/>
        <v>98.751595971059729</v>
      </c>
    </row>
    <row r="28" spans="1:20" ht="30" x14ac:dyDescent="0.25">
      <c r="A28" s="198">
        <v>16</v>
      </c>
      <c r="B28" s="208" t="s">
        <v>557</v>
      </c>
      <c r="C28" s="195" t="s">
        <v>164</v>
      </c>
      <c r="D28" s="195" t="s">
        <v>94</v>
      </c>
      <c r="E28" s="195" t="s">
        <v>558</v>
      </c>
      <c r="F28" s="198"/>
      <c r="G28" s="32">
        <f>G29</f>
        <v>81.39</v>
      </c>
      <c r="H28" s="32">
        <f t="shared" ref="H28:I29" si="9">H29</f>
        <v>81.39</v>
      </c>
      <c r="I28" s="32">
        <f t="shared" si="9"/>
        <v>81.39</v>
      </c>
      <c r="J28" s="224"/>
      <c r="K28" s="224"/>
      <c r="L28" s="224"/>
      <c r="M28" s="226"/>
      <c r="N28" s="226"/>
      <c r="O28" s="226"/>
      <c r="P28" s="225">
        <f t="shared" si="0"/>
        <v>100</v>
      </c>
      <c r="T28" s="209"/>
    </row>
    <row r="29" spans="1:20" ht="45" x14ac:dyDescent="0.25">
      <c r="A29" s="198">
        <v>17</v>
      </c>
      <c r="B29" s="208" t="s">
        <v>16</v>
      </c>
      <c r="C29" s="195" t="s">
        <v>164</v>
      </c>
      <c r="D29" s="195" t="s">
        <v>94</v>
      </c>
      <c r="E29" s="195" t="s">
        <v>558</v>
      </c>
      <c r="F29" s="198">
        <v>100</v>
      </c>
      <c r="G29" s="32">
        <f>G30</f>
        <v>81.39</v>
      </c>
      <c r="H29" s="32">
        <f t="shared" si="9"/>
        <v>81.39</v>
      </c>
      <c r="I29" s="32">
        <f t="shared" si="9"/>
        <v>81.39</v>
      </c>
      <c r="J29" s="224"/>
      <c r="K29" s="224"/>
      <c r="L29" s="224"/>
      <c r="M29" s="226"/>
      <c r="N29" s="226"/>
      <c r="O29" s="226"/>
      <c r="P29" s="225">
        <f t="shared" si="0"/>
        <v>100</v>
      </c>
    </row>
    <row r="30" spans="1:20" x14ac:dyDescent="0.25">
      <c r="A30" s="198">
        <v>18</v>
      </c>
      <c r="B30" s="208" t="s">
        <v>17</v>
      </c>
      <c r="C30" s="195" t="s">
        <v>164</v>
      </c>
      <c r="D30" s="195" t="s">
        <v>94</v>
      </c>
      <c r="E30" s="195" t="s">
        <v>558</v>
      </c>
      <c r="F30" s="198">
        <v>120</v>
      </c>
      <c r="G30" s="32">
        <v>81.39</v>
      </c>
      <c r="H30" s="32">
        <v>81.39</v>
      </c>
      <c r="I30" s="32">
        <v>81.39</v>
      </c>
      <c r="J30" s="224"/>
      <c r="K30" s="224"/>
      <c r="L30" s="224"/>
      <c r="M30" s="226"/>
      <c r="N30" s="226"/>
      <c r="O30" s="226"/>
      <c r="P30" s="225">
        <f t="shared" si="0"/>
        <v>100</v>
      </c>
    </row>
    <row r="31" spans="1:20" ht="30" x14ac:dyDescent="0.25">
      <c r="A31" s="198">
        <v>19</v>
      </c>
      <c r="B31" s="208" t="s">
        <v>491</v>
      </c>
      <c r="C31" s="195" t="s">
        <v>164</v>
      </c>
      <c r="D31" s="195" t="s">
        <v>94</v>
      </c>
      <c r="E31" s="195" t="s">
        <v>509</v>
      </c>
      <c r="F31" s="198"/>
      <c r="G31" s="32">
        <f>G32</f>
        <v>1076.24</v>
      </c>
      <c r="H31" s="32">
        <f t="shared" ref="H31:I32" si="10">H32</f>
        <v>1076.24</v>
      </c>
      <c r="I31" s="32">
        <f t="shared" si="10"/>
        <v>1076.24</v>
      </c>
      <c r="J31" s="224"/>
      <c r="K31" s="224"/>
      <c r="L31" s="224"/>
      <c r="M31" s="226"/>
      <c r="N31" s="226"/>
      <c r="O31" s="226"/>
      <c r="P31" s="225">
        <f t="shared" si="0"/>
        <v>100</v>
      </c>
    </row>
    <row r="32" spans="1:20" ht="45" x14ac:dyDescent="0.25">
      <c r="A32" s="198">
        <v>20</v>
      </c>
      <c r="B32" s="208" t="s">
        <v>16</v>
      </c>
      <c r="C32" s="195" t="s">
        <v>164</v>
      </c>
      <c r="D32" s="195" t="s">
        <v>94</v>
      </c>
      <c r="E32" s="195" t="s">
        <v>509</v>
      </c>
      <c r="F32" s="198">
        <v>100</v>
      </c>
      <c r="G32" s="32">
        <f>G33</f>
        <v>1076.24</v>
      </c>
      <c r="H32" s="32">
        <f t="shared" si="10"/>
        <v>1076.24</v>
      </c>
      <c r="I32" s="32">
        <f t="shared" si="10"/>
        <v>1076.24</v>
      </c>
      <c r="J32" s="224"/>
      <c r="K32" s="224"/>
      <c r="L32" s="224"/>
      <c r="M32" s="226"/>
      <c r="N32" s="226"/>
      <c r="O32" s="226"/>
      <c r="P32" s="225">
        <f t="shared" si="0"/>
        <v>100</v>
      </c>
    </row>
    <row r="33" spans="1:16" x14ac:dyDescent="0.25">
      <c r="A33" s="198">
        <v>21</v>
      </c>
      <c r="B33" s="208" t="s">
        <v>17</v>
      </c>
      <c r="C33" s="195" t="s">
        <v>164</v>
      </c>
      <c r="D33" s="195" t="s">
        <v>94</v>
      </c>
      <c r="E33" s="195" t="s">
        <v>509</v>
      </c>
      <c r="F33" s="198">
        <v>120</v>
      </c>
      <c r="G33" s="32">
        <v>1076.24</v>
      </c>
      <c r="H33" s="32">
        <v>1076.24</v>
      </c>
      <c r="I33" s="32">
        <v>1076.24</v>
      </c>
      <c r="J33" s="224">
        <v>1076.24</v>
      </c>
      <c r="K33" s="224"/>
      <c r="L33" s="224"/>
      <c r="M33" s="226"/>
      <c r="N33" s="226"/>
      <c r="O33" s="226"/>
      <c r="P33" s="225">
        <f t="shared" si="0"/>
        <v>100</v>
      </c>
    </row>
    <row r="34" spans="1:16" ht="45" x14ac:dyDescent="0.25">
      <c r="A34" s="198">
        <v>22</v>
      </c>
      <c r="B34" s="203" t="s">
        <v>398</v>
      </c>
      <c r="C34" s="195" t="s">
        <v>164</v>
      </c>
      <c r="D34" s="195" t="s">
        <v>94</v>
      </c>
      <c r="E34" s="195" t="s">
        <v>435</v>
      </c>
      <c r="F34" s="198"/>
      <c r="G34" s="32">
        <f>G35</f>
        <v>119.52</v>
      </c>
      <c r="H34" s="32">
        <f t="shared" ref="H34:I35" si="11">H35</f>
        <v>119.52</v>
      </c>
      <c r="I34" s="32">
        <f t="shared" si="11"/>
        <v>119.52</v>
      </c>
      <c r="J34" s="224"/>
      <c r="K34" s="224"/>
      <c r="L34" s="224"/>
      <c r="M34" s="226"/>
      <c r="N34" s="226"/>
      <c r="O34" s="226"/>
      <c r="P34" s="225">
        <f t="shared" si="0"/>
        <v>100</v>
      </c>
    </row>
    <row r="35" spans="1:16" ht="45" x14ac:dyDescent="0.25">
      <c r="A35" s="198">
        <v>23</v>
      </c>
      <c r="B35" s="208" t="s">
        <v>16</v>
      </c>
      <c r="C35" s="195" t="s">
        <v>164</v>
      </c>
      <c r="D35" s="195" t="s">
        <v>94</v>
      </c>
      <c r="E35" s="195" t="s">
        <v>435</v>
      </c>
      <c r="F35" s="198">
        <v>100</v>
      </c>
      <c r="G35" s="32">
        <f>G36</f>
        <v>119.52</v>
      </c>
      <c r="H35" s="32">
        <f t="shared" si="11"/>
        <v>119.52</v>
      </c>
      <c r="I35" s="32">
        <f t="shared" si="11"/>
        <v>119.52</v>
      </c>
      <c r="J35" s="224"/>
      <c r="K35" s="224"/>
      <c r="L35" s="224"/>
      <c r="M35" s="226"/>
      <c r="N35" s="226"/>
      <c r="O35" s="226"/>
      <c r="P35" s="225">
        <f t="shared" si="0"/>
        <v>100</v>
      </c>
    </row>
    <row r="36" spans="1:16" x14ac:dyDescent="0.25">
      <c r="A36" s="198">
        <v>24</v>
      </c>
      <c r="B36" s="208" t="s">
        <v>17</v>
      </c>
      <c r="C36" s="195" t="s">
        <v>164</v>
      </c>
      <c r="D36" s="195" t="s">
        <v>94</v>
      </c>
      <c r="E36" s="195" t="s">
        <v>435</v>
      </c>
      <c r="F36" s="198">
        <v>120</v>
      </c>
      <c r="G36" s="32">
        <f>89.64+29.88</f>
        <v>119.52</v>
      </c>
      <c r="H36" s="32">
        <v>119.52</v>
      </c>
      <c r="I36" s="32">
        <v>119.52</v>
      </c>
      <c r="J36" s="224"/>
      <c r="K36" s="224"/>
      <c r="L36" s="224"/>
      <c r="M36" s="226"/>
      <c r="N36" s="226"/>
      <c r="O36" s="226"/>
      <c r="P36" s="225">
        <f t="shared" si="0"/>
        <v>100</v>
      </c>
    </row>
    <row r="37" spans="1:16" x14ac:dyDescent="0.25">
      <c r="A37" s="198">
        <v>25</v>
      </c>
      <c r="B37" s="199" t="s">
        <v>24</v>
      </c>
      <c r="C37" s="195" t="s">
        <v>164</v>
      </c>
      <c r="D37" s="195" t="s">
        <v>94</v>
      </c>
      <c r="E37" s="198">
        <v>9200000000</v>
      </c>
      <c r="F37" s="198"/>
      <c r="G37" s="32">
        <f>G38</f>
        <v>1</v>
      </c>
      <c r="H37" s="32">
        <f t="shared" ref="H37:I40" si="12">H38</f>
        <v>1</v>
      </c>
      <c r="I37" s="32">
        <f t="shared" si="12"/>
        <v>1</v>
      </c>
      <c r="J37" s="224"/>
      <c r="K37" s="224"/>
      <c r="L37" s="224"/>
      <c r="M37" s="226"/>
      <c r="N37" s="226"/>
      <c r="O37" s="226"/>
      <c r="P37" s="225">
        <f t="shared" si="0"/>
        <v>100</v>
      </c>
    </row>
    <row r="38" spans="1:16" x14ac:dyDescent="0.25">
      <c r="A38" s="198">
        <v>26</v>
      </c>
      <c r="B38" s="199" t="s">
        <v>270</v>
      </c>
      <c r="C38" s="195" t="s">
        <v>164</v>
      </c>
      <c r="D38" s="195" t="s">
        <v>94</v>
      </c>
      <c r="E38" s="198">
        <v>9210000000</v>
      </c>
      <c r="F38" s="198"/>
      <c r="G38" s="32">
        <f>G39</f>
        <v>1</v>
      </c>
      <c r="H38" s="32">
        <f t="shared" si="12"/>
        <v>1</v>
      </c>
      <c r="I38" s="32">
        <f t="shared" si="12"/>
        <v>1</v>
      </c>
      <c r="J38" s="224"/>
      <c r="K38" s="224"/>
      <c r="L38" s="224"/>
      <c r="M38" s="226"/>
      <c r="N38" s="226"/>
      <c r="O38" s="226"/>
      <c r="P38" s="225">
        <f t="shared" si="0"/>
        <v>100</v>
      </c>
    </row>
    <row r="39" spans="1:16" x14ac:dyDescent="0.25">
      <c r="A39" s="198">
        <v>27</v>
      </c>
      <c r="B39" s="203" t="s">
        <v>440</v>
      </c>
      <c r="C39" s="195" t="s">
        <v>164</v>
      </c>
      <c r="D39" s="195" t="s">
        <v>94</v>
      </c>
      <c r="E39" s="195" t="s">
        <v>441</v>
      </c>
      <c r="F39" s="198"/>
      <c r="G39" s="32">
        <f>G40</f>
        <v>1</v>
      </c>
      <c r="H39" s="32">
        <f t="shared" si="12"/>
        <v>1</v>
      </c>
      <c r="I39" s="32">
        <f t="shared" si="12"/>
        <v>1</v>
      </c>
      <c r="J39" s="224"/>
      <c r="K39" s="224"/>
      <c r="L39" s="224"/>
      <c r="M39" s="226"/>
      <c r="N39" s="226"/>
      <c r="O39" s="226"/>
      <c r="P39" s="225">
        <f t="shared" si="0"/>
        <v>100</v>
      </c>
    </row>
    <row r="40" spans="1:16" x14ac:dyDescent="0.25">
      <c r="A40" s="198">
        <v>28</v>
      </c>
      <c r="B40" s="208" t="s">
        <v>21</v>
      </c>
      <c r="C40" s="195" t="s">
        <v>164</v>
      </c>
      <c r="D40" s="195" t="s">
        <v>94</v>
      </c>
      <c r="E40" s="195" t="s">
        <v>441</v>
      </c>
      <c r="F40" s="198">
        <v>200</v>
      </c>
      <c r="G40" s="32">
        <f>G41</f>
        <v>1</v>
      </c>
      <c r="H40" s="32">
        <f t="shared" si="12"/>
        <v>1</v>
      </c>
      <c r="I40" s="32">
        <f t="shared" si="12"/>
        <v>1</v>
      </c>
      <c r="J40" s="224"/>
      <c r="K40" s="224"/>
      <c r="L40" s="224"/>
      <c r="M40" s="226"/>
      <c r="N40" s="226"/>
      <c r="O40" s="226"/>
      <c r="P40" s="225">
        <f t="shared" si="0"/>
        <v>100</v>
      </c>
    </row>
    <row r="41" spans="1:16" x14ac:dyDescent="0.25">
      <c r="A41" s="198">
        <v>29</v>
      </c>
      <c r="B41" s="208" t="s">
        <v>22</v>
      </c>
      <c r="C41" s="195" t="s">
        <v>164</v>
      </c>
      <c r="D41" s="195" t="s">
        <v>94</v>
      </c>
      <c r="E41" s="195" t="s">
        <v>441</v>
      </c>
      <c r="F41" s="198">
        <v>240</v>
      </c>
      <c r="G41" s="32">
        <v>1</v>
      </c>
      <c r="H41" s="32">
        <v>1</v>
      </c>
      <c r="I41" s="32">
        <v>1</v>
      </c>
      <c r="J41" s="224"/>
      <c r="K41" s="224"/>
      <c r="L41" s="224"/>
      <c r="M41" s="226"/>
      <c r="N41" s="226"/>
      <c r="O41" s="226"/>
      <c r="P41" s="225">
        <f t="shared" si="0"/>
        <v>100</v>
      </c>
    </row>
    <row r="42" spans="1:16" x14ac:dyDescent="0.25">
      <c r="A42" s="198">
        <v>30</v>
      </c>
      <c r="B42" s="203" t="s">
        <v>36</v>
      </c>
      <c r="C42" s="195" t="s">
        <v>164</v>
      </c>
      <c r="D42" s="195" t="s">
        <v>96</v>
      </c>
      <c r="E42" s="198"/>
      <c r="F42" s="198"/>
      <c r="G42" s="32">
        <f>G43</f>
        <v>73.300000000000097</v>
      </c>
      <c r="H42" s="32">
        <f t="shared" ref="H42:I42" si="13">H43</f>
        <v>73.3</v>
      </c>
      <c r="I42" s="32">
        <f t="shared" si="13"/>
        <v>73.3</v>
      </c>
      <c r="J42" s="224"/>
      <c r="K42" s="224"/>
      <c r="L42" s="224"/>
      <c r="M42" s="226"/>
      <c r="N42" s="226"/>
      <c r="O42" s="226"/>
      <c r="P42" s="225">
        <f t="shared" si="0"/>
        <v>100</v>
      </c>
    </row>
    <row r="43" spans="1:16" x14ac:dyDescent="0.25">
      <c r="A43" s="198">
        <v>31</v>
      </c>
      <c r="B43" s="199" t="s">
        <v>24</v>
      </c>
      <c r="C43" s="195" t="s">
        <v>164</v>
      </c>
      <c r="D43" s="195" t="s">
        <v>96</v>
      </c>
      <c r="E43" s="198">
        <v>9200000000</v>
      </c>
      <c r="F43" s="198"/>
      <c r="G43" s="32">
        <f>G45+G48</f>
        <v>73.300000000000097</v>
      </c>
      <c r="H43" s="32">
        <f t="shared" ref="H43:I43" si="14">H45</f>
        <v>73.3</v>
      </c>
      <c r="I43" s="32">
        <f t="shared" si="14"/>
        <v>73.3</v>
      </c>
      <c r="J43" s="224"/>
      <c r="K43" s="224"/>
      <c r="L43" s="224"/>
      <c r="M43" s="226"/>
      <c r="N43" s="226"/>
      <c r="O43" s="226"/>
      <c r="P43" s="225">
        <f t="shared" si="0"/>
        <v>100</v>
      </c>
    </row>
    <row r="44" spans="1:16" x14ac:dyDescent="0.25">
      <c r="A44" s="198">
        <v>32</v>
      </c>
      <c r="B44" s="199" t="s">
        <v>270</v>
      </c>
      <c r="C44" s="195" t="s">
        <v>164</v>
      </c>
      <c r="D44" s="195" t="s">
        <v>96</v>
      </c>
      <c r="E44" s="198">
        <v>9210000000</v>
      </c>
      <c r="F44" s="198"/>
      <c r="G44" s="32">
        <f>G45</f>
        <v>73.3</v>
      </c>
      <c r="H44" s="32">
        <f t="shared" ref="H44:I45" si="15">H45</f>
        <v>73.3</v>
      </c>
      <c r="I44" s="32">
        <f t="shared" si="15"/>
        <v>73.3</v>
      </c>
      <c r="J44" s="224"/>
      <c r="K44" s="224"/>
      <c r="L44" s="224"/>
      <c r="M44" s="226"/>
      <c r="N44" s="226"/>
      <c r="O44" s="226"/>
      <c r="P44" s="225">
        <f t="shared" si="0"/>
        <v>100</v>
      </c>
    </row>
    <row r="45" spans="1:16" ht="45" x14ac:dyDescent="0.25">
      <c r="A45" s="198">
        <v>33</v>
      </c>
      <c r="B45" s="199" t="s">
        <v>456</v>
      </c>
      <c r="C45" s="195" t="s">
        <v>164</v>
      </c>
      <c r="D45" s="195" t="s">
        <v>96</v>
      </c>
      <c r="E45" s="198">
        <v>9210075140</v>
      </c>
      <c r="F45" s="198"/>
      <c r="G45" s="32">
        <f>G46</f>
        <v>73.3</v>
      </c>
      <c r="H45" s="32">
        <f t="shared" si="15"/>
        <v>73.3</v>
      </c>
      <c r="I45" s="32">
        <f t="shared" si="15"/>
        <v>73.3</v>
      </c>
      <c r="J45" s="224"/>
      <c r="K45" s="224"/>
      <c r="L45" s="224"/>
      <c r="M45" s="226"/>
      <c r="N45" s="226"/>
      <c r="O45" s="226"/>
      <c r="P45" s="225">
        <f t="shared" si="0"/>
        <v>100</v>
      </c>
    </row>
    <row r="46" spans="1:16" x14ac:dyDescent="0.25">
      <c r="A46" s="198">
        <v>34</v>
      </c>
      <c r="B46" s="208" t="s">
        <v>19</v>
      </c>
      <c r="C46" s="195" t="s">
        <v>164</v>
      </c>
      <c r="D46" s="195" t="s">
        <v>96</v>
      </c>
      <c r="E46" s="198">
        <v>9210075140</v>
      </c>
      <c r="F46" s="198">
        <v>500</v>
      </c>
      <c r="G46" s="32">
        <f>G47</f>
        <v>73.3</v>
      </c>
      <c r="H46" s="32">
        <f t="shared" ref="H46:I46" si="16">H47</f>
        <v>73.3</v>
      </c>
      <c r="I46" s="32">
        <f t="shared" si="16"/>
        <v>73.3</v>
      </c>
      <c r="J46" s="224"/>
      <c r="K46" s="224"/>
      <c r="L46" s="224"/>
      <c r="M46" s="226"/>
      <c r="N46" s="226"/>
      <c r="O46" s="226"/>
      <c r="P46" s="225">
        <f t="shared" si="0"/>
        <v>100</v>
      </c>
    </row>
    <row r="47" spans="1:16" x14ac:dyDescent="0.25">
      <c r="A47" s="198">
        <v>35</v>
      </c>
      <c r="B47" s="208" t="s">
        <v>20</v>
      </c>
      <c r="C47" s="195" t="s">
        <v>164</v>
      </c>
      <c r="D47" s="195" t="s">
        <v>96</v>
      </c>
      <c r="E47" s="198">
        <v>9210075140</v>
      </c>
      <c r="F47" s="198">
        <v>530</v>
      </c>
      <c r="G47" s="32">
        <f>66.8+6+0.5</f>
        <v>73.3</v>
      </c>
      <c r="H47" s="32">
        <v>73.3</v>
      </c>
      <c r="I47" s="32">
        <v>73.3</v>
      </c>
      <c r="J47" s="224">
        <v>6</v>
      </c>
      <c r="K47" s="224">
        <v>10.3</v>
      </c>
      <c r="L47" s="224">
        <v>10.3</v>
      </c>
      <c r="M47" s="226"/>
      <c r="N47" s="226"/>
      <c r="O47" s="226"/>
      <c r="P47" s="225">
        <f t="shared" si="0"/>
        <v>100</v>
      </c>
    </row>
    <row r="48" spans="1:16" ht="30" x14ac:dyDescent="0.25">
      <c r="A48" s="198">
        <v>36</v>
      </c>
      <c r="B48" s="203" t="s">
        <v>457</v>
      </c>
      <c r="C48" s="195" t="s">
        <v>164</v>
      </c>
      <c r="D48" s="195" t="s">
        <v>96</v>
      </c>
      <c r="E48" s="198">
        <v>9210099990</v>
      </c>
      <c r="F48" s="198"/>
      <c r="G48" s="32">
        <f>G49</f>
        <v>9.9475983006414026E-14</v>
      </c>
      <c r="H48" s="32">
        <f t="shared" ref="H48:I49" si="17">H49</f>
        <v>0</v>
      </c>
      <c r="I48" s="32">
        <f t="shared" si="17"/>
        <v>0</v>
      </c>
      <c r="J48" s="224"/>
      <c r="K48" s="224"/>
      <c r="L48" s="224"/>
      <c r="M48" s="226"/>
      <c r="N48" s="226"/>
      <c r="O48" s="226"/>
      <c r="P48" s="225" t="e">
        <f t="shared" si="0"/>
        <v>#DIV/0!</v>
      </c>
    </row>
    <row r="49" spans="1:16" x14ac:dyDescent="0.25">
      <c r="A49" s="198">
        <v>37</v>
      </c>
      <c r="B49" s="208" t="s">
        <v>33</v>
      </c>
      <c r="C49" s="195" t="s">
        <v>164</v>
      </c>
      <c r="D49" s="195" t="s">
        <v>96</v>
      </c>
      <c r="E49" s="198">
        <v>9210099990</v>
      </c>
      <c r="F49" s="198">
        <v>800</v>
      </c>
      <c r="G49" s="32">
        <f>G50</f>
        <v>9.9475983006414026E-14</v>
      </c>
      <c r="H49" s="32">
        <f t="shared" si="17"/>
        <v>0</v>
      </c>
      <c r="I49" s="32">
        <f t="shared" si="17"/>
        <v>0</v>
      </c>
      <c r="J49" s="224"/>
      <c r="K49" s="224"/>
      <c r="L49" s="224"/>
      <c r="M49" s="226"/>
      <c r="N49" s="226"/>
      <c r="O49" s="226"/>
      <c r="P49" s="225" t="e">
        <f t="shared" si="0"/>
        <v>#DIV/0!</v>
      </c>
    </row>
    <row r="50" spans="1:16" x14ac:dyDescent="0.25">
      <c r="A50" s="198">
        <v>38</v>
      </c>
      <c r="B50" s="208" t="s">
        <v>34</v>
      </c>
      <c r="C50" s="195" t="s">
        <v>164</v>
      </c>
      <c r="D50" s="195" t="s">
        <v>96</v>
      </c>
      <c r="E50" s="198">
        <v>9210099990</v>
      </c>
      <c r="F50" s="198">
        <v>870</v>
      </c>
      <c r="G50" s="32">
        <f>2000-46.35-35-16.6+10-130-500-1242.41-2.94-9.67-10-17.03</f>
        <v>9.9475983006414026E-14</v>
      </c>
      <c r="H50" s="32">
        <v>0</v>
      </c>
      <c r="I50" s="32">
        <v>0</v>
      </c>
      <c r="J50" s="224">
        <v>-1245.3499999999999</v>
      </c>
      <c r="K50" s="224"/>
      <c r="L50" s="224"/>
      <c r="M50" s="226"/>
      <c r="N50" s="226"/>
      <c r="O50" s="226"/>
      <c r="P50" s="225" t="e">
        <f t="shared" si="0"/>
        <v>#DIV/0!</v>
      </c>
    </row>
    <row r="51" spans="1:16" x14ac:dyDescent="0.25">
      <c r="A51" s="198">
        <v>39</v>
      </c>
      <c r="B51" s="62" t="s">
        <v>97</v>
      </c>
      <c r="C51" s="195" t="s">
        <v>164</v>
      </c>
      <c r="D51" s="195" t="s">
        <v>98</v>
      </c>
      <c r="E51" s="198"/>
      <c r="F51" s="198"/>
      <c r="G51" s="32">
        <f>G52</f>
        <v>1792.9</v>
      </c>
      <c r="H51" s="32">
        <f t="shared" ref="H51:I51" si="18">H52</f>
        <v>1792.9</v>
      </c>
      <c r="I51" s="32">
        <f t="shared" si="18"/>
        <v>1792.9</v>
      </c>
      <c r="J51" s="224"/>
      <c r="K51" s="224"/>
      <c r="L51" s="224"/>
      <c r="M51" s="226"/>
      <c r="N51" s="226"/>
      <c r="O51" s="226"/>
      <c r="P51" s="225">
        <f t="shared" si="0"/>
        <v>100</v>
      </c>
    </row>
    <row r="52" spans="1:16" x14ac:dyDescent="0.25">
      <c r="A52" s="198">
        <v>40</v>
      </c>
      <c r="B52" s="208" t="s">
        <v>23</v>
      </c>
      <c r="C52" s="195" t="s">
        <v>164</v>
      </c>
      <c r="D52" s="195" t="s">
        <v>99</v>
      </c>
      <c r="E52" s="198"/>
      <c r="F52" s="198"/>
      <c r="G52" s="32">
        <f>G55</f>
        <v>1792.9</v>
      </c>
      <c r="H52" s="32">
        <f t="shared" ref="H52:I52" si="19">H55</f>
        <v>1792.9</v>
      </c>
      <c r="I52" s="32">
        <f t="shared" si="19"/>
        <v>1792.9</v>
      </c>
      <c r="J52" s="224"/>
      <c r="K52" s="224"/>
      <c r="L52" s="224"/>
      <c r="M52" s="226"/>
      <c r="N52" s="226"/>
      <c r="O52" s="226"/>
      <c r="P52" s="225">
        <f t="shared" si="0"/>
        <v>100</v>
      </c>
    </row>
    <row r="53" spans="1:16" x14ac:dyDescent="0.25">
      <c r="A53" s="198">
        <v>41</v>
      </c>
      <c r="B53" s="208" t="s">
        <v>24</v>
      </c>
      <c r="C53" s="195" t="s">
        <v>164</v>
      </c>
      <c r="D53" s="195" t="s">
        <v>99</v>
      </c>
      <c r="E53" s="198">
        <v>9200000000</v>
      </c>
      <c r="F53" s="198"/>
      <c r="G53" s="32">
        <f>G55</f>
        <v>1792.9</v>
      </c>
      <c r="H53" s="32">
        <f>H55</f>
        <v>1792.9</v>
      </c>
      <c r="I53" s="32">
        <f>I55</f>
        <v>1792.9</v>
      </c>
      <c r="J53" s="224"/>
      <c r="K53" s="224"/>
      <c r="L53" s="224"/>
      <c r="M53" s="226"/>
      <c r="N53" s="226"/>
      <c r="O53" s="226"/>
      <c r="P53" s="225">
        <f t="shared" si="0"/>
        <v>100</v>
      </c>
    </row>
    <row r="54" spans="1:16" x14ac:dyDescent="0.25">
      <c r="A54" s="198">
        <v>42</v>
      </c>
      <c r="B54" s="199" t="s">
        <v>270</v>
      </c>
      <c r="C54" s="195" t="s">
        <v>164</v>
      </c>
      <c r="D54" s="195" t="s">
        <v>99</v>
      </c>
      <c r="E54" s="198">
        <v>9210000000</v>
      </c>
      <c r="F54" s="198"/>
      <c r="G54" s="32">
        <f>G55</f>
        <v>1792.9</v>
      </c>
      <c r="H54" s="32">
        <f t="shared" ref="H54:I54" si="20">H55</f>
        <v>1792.9</v>
      </c>
      <c r="I54" s="32">
        <f t="shared" si="20"/>
        <v>1792.9</v>
      </c>
      <c r="J54" s="224"/>
      <c r="K54" s="224"/>
      <c r="L54" s="224"/>
      <c r="M54" s="226"/>
      <c r="N54" s="226"/>
      <c r="O54" s="226"/>
      <c r="P54" s="225">
        <f t="shared" si="0"/>
        <v>100</v>
      </c>
    </row>
    <row r="55" spans="1:16" ht="30" x14ac:dyDescent="0.25">
      <c r="A55" s="198">
        <v>43</v>
      </c>
      <c r="B55" s="208" t="s">
        <v>404</v>
      </c>
      <c r="C55" s="195" t="s">
        <v>164</v>
      </c>
      <c r="D55" s="195" t="s">
        <v>99</v>
      </c>
      <c r="E55" s="198">
        <v>9210051180</v>
      </c>
      <c r="F55" s="198"/>
      <c r="G55" s="32">
        <f>G56</f>
        <v>1792.9</v>
      </c>
      <c r="H55" s="32">
        <f t="shared" ref="H55:I56" si="21">H56</f>
        <v>1792.9</v>
      </c>
      <c r="I55" s="32">
        <f t="shared" si="21"/>
        <v>1792.9</v>
      </c>
      <c r="J55" s="224"/>
      <c r="K55" s="224"/>
      <c r="L55" s="224"/>
      <c r="M55" s="226"/>
      <c r="N55" s="226"/>
      <c r="O55" s="226"/>
      <c r="P55" s="225">
        <f t="shared" si="0"/>
        <v>100</v>
      </c>
    </row>
    <row r="56" spans="1:16" x14ac:dyDescent="0.25">
      <c r="A56" s="198">
        <v>44</v>
      </c>
      <c r="B56" s="208" t="s">
        <v>19</v>
      </c>
      <c r="C56" s="195" t="s">
        <v>164</v>
      </c>
      <c r="D56" s="195" t="s">
        <v>99</v>
      </c>
      <c r="E56" s="198">
        <v>9210051180</v>
      </c>
      <c r="F56" s="198">
        <v>500</v>
      </c>
      <c r="G56" s="32">
        <f>G57</f>
        <v>1792.9</v>
      </c>
      <c r="H56" s="32">
        <f t="shared" si="21"/>
        <v>1792.9</v>
      </c>
      <c r="I56" s="32">
        <f t="shared" si="21"/>
        <v>1792.9</v>
      </c>
      <c r="J56" s="224"/>
      <c r="K56" s="224"/>
      <c r="L56" s="224"/>
      <c r="M56" s="226"/>
      <c r="N56" s="226"/>
      <c r="O56" s="226"/>
      <c r="P56" s="225">
        <f t="shared" si="0"/>
        <v>100</v>
      </c>
    </row>
    <row r="57" spans="1:16" x14ac:dyDescent="0.25">
      <c r="A57" s="198">
        <v>45</v>
      </c>
      <c r="B57" s="208" t="s">
        <v>20</v>
      </c>
      <c r="C57" s="195" t="s">
        <v>164</v>
      </c>
      <c r="D57" s="195" t="s">
        <v>99</v>
      </c>
      <c r="E57" s="198">
        <v>9210051180</v>
      </c>
      <c r="F57" s="198">
        <v>530</v>
      </c>
      <c r="G57" s="32">
        <f>1505.5+178.2+109.2</f>
        <v>1792.9</v>
      </c>
      <c r="H57" s="32">
        <v>1792.9</v>
      </c>
      <c r="I57" s="32">
        <v>1792.9</v>
      </c>
      <c r="J57" s="224">
        <v>178.2</v>
      </c>
      <c r="K57" s="224">
        <v>169.6</v>
      </c>
      <c r="L57" s="224">
        <v>1741.4</v>
      </c>
      <c r="M57" s="226"/>
      <c r="N57" s="226"/>
      <c r="O57" s="226"/>
      <c r="P57" s="225">
        <f t="shared" si="0"/>
        <v>100</v>
      </c>
    </row>
    <row r="58" spans="1:16" x14ac:dyDescent="0.25">
      <c r="A58" s="198">
        <v>46</v>
      </c>
      <c r="B58" s="203" t="s">
        <v>100</v>
      </c>
      <c r="C58" s="195" t="s">
        <v>164</v>
      </c>
      <c r="D58" s="195" t="s">
        <v>101</v>
      </c>
      <c r="E58" s="198"/>
      <c r="F58" s="198"/>
      <c r="G58" s="32">
        <f t="shared" ref="G58:G63" si="22">G59</f>
        <v>953.49</v>
      </c>
      <c r="H58" s="32">
        <f t="shared" ref="H58:I63" si="23">H59</f>
        <v>953.49</v>
      </c>
      <c r="I58" s="32">
        <f t="shared" si="23"/>
        <v>953.49</v>
      </c>
      <c r="J58" s="224"/>
      <c r="K58" s="224"/>
      <c r="L58" s="224"/>
      <c r="M58" s="226"/>
      <c r="N58" s="226"/>
      <c r="O58" s="226"/>
      <c r="P58" s="225">
        <f t="shared" si="0"/>
        <v>100</v>
      </c>
    </row>
    <row r="59" spans="1:16" x14ac:dyDescent="0.25">
      <c r="A59" s="198">
        <v>47</v>
      </c>
      <c r="B59" s="203" t="s">
        <v>423</v>
      </c>
      <c r="C59" s="195" t="s">
        <v>164</v>
      </c>
      <c r="D59" s="195" t="s">
        <v>424</v>
      </c>
      <c r="E59" s="198"/>
      <c r="F59" s="198"/>
      <c r="G59" s="32">
        <f t="shared" si="22"/>
        <v>953.49</v>
      </c>
      <c r="H59" s="32">
        <f t="shared" si="23"/>
        <v>953.49</v>
      </c>
      <c r="I59" s="32">
        <f t="shared" si="23"/>
        <v>953.49</v>
      </c>
      <c r="J59" s="224"/>
      <c r="K59" s="224"/>
      <c r="L59" s="224"/>
      <c r="M59" s="226"/>
      <c r="N59" s="226"/>
      <c r="O59" s="226"/>
      <c r="P59" s="225">
        <f t="shared" si="0"/>
        <v>100</v>
      </c>
    </row>
    <row r="60" spans="1:16" ht="30" x14ac:dyDescent="0.25">
      <c r="A60" s="198">
        <v>48</v>
      </c>
      <c r="B60" s="199" t="s">
        <v>151</v>
      </c>
      <c r="C60" s="195" t="s">
        <v>164</v>
      </c>
      <c r="D60" s="195" t="s">
        <v>424</v>
      </c>
      <c r="E60" s="195" t="s">
        <v>192</v>
      </c>
      <c r="F60" s="198"/>
      <c r="G60" s="32">
        <f t="shared" si="22"/>
        <v>953.49</v>
      </c>
      <c r="H60" s="32">
        <f t="shared" si="23"/>
        <v>953.49</v>
      </c>
      <c r="I60" s="32">
        <f t="shared" si="23"/>
        <v>953.49</v>
      </c>
      <c r="J60" s="224"/>
      <c r="K60" s="224"/>
      <c r="L60" s="224"/>
      <c r="M60" s="226"/>
      <c r="N60" s="226"/>
      <c r="O60" s="226"/>
      <c r="P60" s="225">
        <f t="shared" si="0"/>
        <v>100</v>
      </c>
    </row>
    <row r="61" spans="1:16" ht="30" x14ac:dyDescent="0.25">
      <c r="A61" s="198">
        <v>49</v>
      </c>
      <c r="B61" s="203" t="s">
        <v>310</v>
      </c>
      <c r="C61" s="195" t="s">
        <v>164</v>
      </c>
      <c r="D61" s="195" t="s">
        <v>424</v>
      </c>
      <c r="E61" s="195" t="s">
        <v>193</v>
      </c>
      <c r="F61" s="198"/>
      <c r="G61" s="32">
        <f t="shared" si="22"/>
        <v>953.49</v>
      </c>
      <c r="H61" s="32">
        <f t="shared" si="23"/>
        <v>953.49</v>
      </c>
      <c r="I61" s="32">
        <f t="shared" si="23"/>
        <v>953.49</v>
      </c>
      <c r="J61" s="224"/>
      <c r="K61" s="224"/>
      <c r="L61" s="224"/>
      <c r="M61" s="226"/>
      <c r="N61" s="226"/>
      <c r="O61" s="226"/>
      <c r="P61" s="225">
        <f t="shared" si="0"/>
        <v>100</v>
      </c>
    </row>
    <row r="62" spans="1:16" ht="30" x14ac:dyDescent="0.25">
      <c r="A62" s="198">
        <v>50</v>
      </c>
      <c r="B62" s="203" t="s">
        <v>425</v>
      </c>
      <c r="C62" s="195" t="s">
        <v>164</v>
      </c>
      <c r="D62" s="195" t="s">
        <v>424</v>
      </c>
      <c r="E62" s="195" t="s">
        <v>477</v>
      </c>
      <c r="F62" s="198"/>
      <c r="G62" s="32">
        <f t="shared" si="22"/>
        <v>953.49</v>
      </c>
      <c r="H62" s="32">
        <f t="shared" si="23"/>
        <v>953.49</v>
      </c>
      <c r="I62" s="32">
        <f t="shared" si="23"/>
        <v>953.49</v>
      </c>
      <c r="J62" s="224"/>
      <c r="K62" s="224"/>
      <c r="L62" s="224"/>
      <c r="M62" s="226"/>
      <c r="N62" s="226"/>
      <c r="O62" s="226"/>
      <c r="P62" s="225">
        <f t="shared" si="0"/>
        <v>100</v>
      </c>
    </row>
    <row r="63" spans="1:16" x14ac:dyDescent="0.25">
      <c r="A63" s="198">
        <v>51</v>
      </c>
      <c r="B63" s="208" t="s">
        <v>19</v>
      </c>
      <c r="C63" s="195" t="s">
        <v>164</v>
      </c>
      <c r="D63" s="195" t="s">
        <v>424</v>
      </c>
      <c r="E63" s="195" t="s">
        <v>477</v>
      </c>
      <c r="F63" s="198">
        <v>500</v>
      </c>
      <c r="G63" s="32">
        <f t="shared" si="22"/>
        <v>953.49</v>
      </c>
      <c r="H63" s="32">
        <f t="shared" si="23"/>
        <v>953.49</v>
      </c>
      <c r="I63" s="32">
        <f t="shared" si="23"/>
        <v>953.49</v>
      </c>
      <c r="J63" s="224"/>
      <c r="K63" s="224"/>
      <c r="L63" s="224"/>
      <c r="M63" s="226"/>
      <c r="N63" s="226"/>
      <c r="O63" s="226"/>
      <c r="P63" s="225">
        <f t="shared" si="0"/>
        <v>100</v>
      </c>
    </row>
    <row r="64" spans="1:16" x14ac:dyDescent="0.25">
      <c r="A64" s="198">
        <v>52</v>
      </c>
      <c r="B64" s="203" t="s">
        <v>406</v>
      </c>
      <c r="C64" s="195" t="s">
        <v>164</v>
      </c>
      <c r="D64" s="195" t="s">
        <v>424</v>
      </c>
      <c r="E64" s="195" t="s">
        <v>477</v>
      </c>
      <c r="F64" s="198">
        <v>520</v>
      </c>
      <c r="G64" s="32">
        <f>981+0.19-27.7</f>
        <v>953.49</v>
      </c>
      <c r="H64" s="32">
        <v>953.49</v>
      </c>
      <c r="I64" s="32">
        <v>953.49</v>
      </c>
      <c r="J64" s="224">
        <v>0.19</v>
      </c>
      <c r="K64" s="224">
        <v>-0.03</v>
      </c>
      <c r="L64" s="224">
        <v>-0.03</v>
      </c>
      <c r="M64" s="226"/>
      <c r="N64" s="226"/>
      <c r="O64" s="226"/>
      <c r="P64" s="225">
        <f t="shared" si="0"/>
        <v>100</v>
      </c>
    </row>
    <row r="65" spans="1:16" x14ac:dyDescent="0.25">
      <c r="A65" s="198">
        <v>53</v>
      </c>
      <c r="B65" s="62" t="s">
        <v>103</v>
      </c>
      <c r="C65" s="195" t="s">
        <v>164</v>
      </c>
      <c r="D65" s="195" t="s">
        <v>104</v>
      </c>
      <c r="E65" s="198"/>
      <c r="F65" s="198"/>
      <c r="G65" s="32">
        <f>G66+G72</f>
        <v>5696.32</v>
      </c>
      <c r="H65" s="32">
        <f>H66+H72</f>
        <v>5696.32</v>
      </c>
      <c r="I65" s="32">
        <f>I66+I72</f>
        <v>5696.32</v>
      </c>
      <c r="J65" s="224"/>
      <c r="K65" s="224"/>
      <c r="L65" s="224"/>
      <c r="M65" s="226"/>
      <c r="N65" s="226"/>
      <c r="O65" s="226"/>
      <c r="P65" s="225">
        <f t="shared" si="0"/>
        <v>100</v>
      </c>
    </row>
    <row r="66" spans="1:16" x14ac:dyDescent="0.25">
      <c r="A66" s="198">
        <v>54</v>
      </c>
      <c r="B66" s="33" t="s">
        <v>25</v>
      </c>
      <c r="C66" s="195" t="s">
        <v>164</v>
      </c>
      <c r="D66" s="63" t="s">
        <v>106</v>
      </c>
      <c r="E66" s="63"/>
      <c r="F66" s="198"/>
      <c r="G66" s="32">
        <f>G67</f>
        <v>200</v>
      </c>
      <c r="H66" s="32">
        <f t="shared" ref="H66:I68" si="24">H67</f>
        <v>200</v>
      </c>
      <c r="I66" s="32">
        <f t="shared" si="24"/>
        <v>200</v>
      </c>
      <c r="J66" s="224"/>
      <c r="K66" s="224"/>
      <c r="L66" s="224"/>
      <c r="M66" s="226"/>
      <c r="N66" s="226"/>
      <c r="O66" s="226"/>
      <c r="P66" s="225">
        <f t="shared" si="0"/>
        <v>100</v>
      </c>
    </row>
    <row r="67" spans="1:16" x14ac:dyDescent="0.25">
      <c r="A67" s="198">
        <v>55</v>
      </c>
      <c r="B67" s="197" t="s">
        <v>297</v>
      </c>
      <c r="C67" s="195" t="s">
        <v>164</v>
      </c>
      <c r="D67" s="63" t="s">
        <v>106</v>
      </c>
      <c r="E67" s="195" t="s">
        <v>183</v>
      </c>
      <c r="F67" s="198"/>
      <c r="G67" s="32">
        <f>G68</f>
        <v>200</v>
      </c>
      <c r="H67" s="32">
        <f t="shared" si="24"/>
        <v>200</v>
      </c>
      <c r="I67" s="32">
        <f t="shared" si="24"/>
        <v>200</v>
      </c>
      <c r="J67" s="224"/>
      <c r="K67" s="224"/>
      <c r="L67" s="224"/>
      <c r="M67" s="226"/>
      <c r="N67" s="226"/>
      <c r="O67" s="226"/>
      <c r="P67" s="225">
        <f t="shared" si="0"/>
        <v>100</v>
      </c>
    </row>
    <row r="68" spans="1:16" x14ac:dyDescent="0.25">
      <c r="A68" s="198">
        <v>56</v>
      </c>
      <c r="B68" s="197" t="s">
        <v>40</v>
      </c>
      <c r="C68" s="195" t="s">
        <v>164</v>
      </c>
      <c r="D68" s="63" t="s">
        <v>106</v>
      </c>
      <c r="E68" s="195" t="s">
        <v>309</v>
      </c>
      <c r="F68" s="198"/>
      <c r="G68" s="32">
        <f>G69</f>
        <v>200</v>
      </c>
      <c r="H68" s="32">
        <f t="shared" si="24"/>
        <v>200</v>
      </c>
      <c r="I68" s="32">
        <f t="shared" si="24"/>
        <v>200</v>
      </c>
      <c r="J68" s="224"/>
      <c r="K68" s="224"/>
      <c r="L68" s="224"/>
      <c r="M68" s="226"/>
      <c r="N68" s="226"/>
      <c r="O68" s="226"/>
      <c r="P68" s="225">
        <f t="shared" si="0"/>
        <v>100</v>
      </c>
    </row>
    <row r="69" spans="1:16" ht="30" x14ac:dyDescent="0.25">
      <c r="A69" s="198">
        <v>57</v>
      </c>
      <c r="B69" s="33" t="s">
        <v>298</v>
      </c>
      <c r="C69" s="195" t="s">
        <v>164</v>
      </c>
      <c r="D69" s="63" t="s">
        <v>106</v>
      </c>
      <c r="E69" s="195" t="s">
        <v>271</v>
      </c>
      <c r="F69" s="198"/>
      <c r="G69" s="32">
        <f>G70</f>
        <v>200</v>
      </c>
      <c r="H69" s="32">
        <f t="shared" ref="H69:I70" si="25">H70</f>
        <v>200</v>
      </c>
      <c r="I69" s="32">
        <f t="shared" si="25"/>
        <v>200</v>
      </c>
      <c r="J69" s="224"/>
      <c r="K69" s="224"/>
      <c r="L69" s="224"/>
      <c r="M69" s="226"/>
      <c r="N69" s="226"/>
      <c r="O69" s="226"/>
      <c r="P69" s="225">
        <f t="shared" si="0"/>
        <v>100</v>
      </c>
    </row>
    <row r="70" spans="1:16" x14ac:dyDescent="0.25">
      <c r="A70" s="198">
        <v>58</v>
      </c>
      <c r="B70" s="208" t="s">
        <v>19</v>
      </c>
      <c r="C70" s="195" t="s">
        <v>164</v>
      </c>
      <c r="D70" s="63" t="s">
        <v>106</v>
      </c>
      <c r="E70" s="195" t="s">
        <v>271</v>
      </c>
      <c r="F70" s="198">
        <v>500</v>
      </c>
      <c r="G70" s="32">
        <f>G71</f>
        <v>200</v>
      </c>
      <c r="H70" s="32">
        <f t="shared" si="25"/>
        <v>200</v>
      </c>
      <c r="I70" s="32">
        <f t="shared" si="25"/>
        <v>200</v>
      </c>
      <c r="J70" s="224"/>
      <c r="K70" s="224"/>
      <c r="L70" s="224"/>
      <c r="M70" s="226"/>
      <c r="N70" s="226"/>
      <c r="O70" s="226"/>
      <c r="P70" s="225">
        <f t="shared" si="0"/>
        <v>100</v>
      </c>
    </row>
    <row r="71" spans="1:16" x14ac:dyDescent="0.25">
      <c r="A71" s="198">
        <v>59</v>
      </c>
      <c r="B71" s="208" t="s">
        <v>26</v>
      </c>
      <c r="C71" s="195" t="s">
        <v>164</v>
      </c>
      <c r="D71" s="63" t="s">
        <v>106</v>
      </c>
      <c r="E71" s="195" t="s">
        <v>271</v>
      </c>
      <c r="F71" s="198">
        <v>540</v>
      </c>
      <c r="G71" s="32">
        <v>200</v>
      </c>
      <c r="H71" s="32">
        <v>200</v>
      </c>
      <c r="I71" s="32">
        <v>200</v>
      </c>
      <c r="J71" s="224"/>
      <c r="K71" s="224"/>
      <c r="L71" s="224"/>
      <c r="M71" s="226"/>
      <c r="N71" s="226"/>
      <c r="O71" s="226"/>
      <c r="P71" s="225">
        <f t="shared" si="0"/>
        <v>100</v>
      </c>
    </row>
    <row r="72" spans="1:16" x14ac:dyDescent="0.25">
      <c r="A72" s="198">
        <v>60</v>
      </c>
      <c r="B72" s="203" t="s">
        <v>109</v>
      </c>
      <c r="C72" s="195" t="s">
        <v>164</v>
      </c>
      <c r="D72" s="63" t="s">
        <v>110</v>
      </c>
      <c r="E72" s="198"/>
      <c r="F72" s="198"/>
      <c r="G72" s="32">
        <f>G73</f>
        <v>5496.32</v>
      </c>
      <c r="H72" s="32">
        <f t="shared" ref="H72:I72" si="26">H73</f>
        <v>5496.32</v>
      </c>
      <c r="I72" s="32">
        <f t="shared" si="26"/>
        <v>5496.32</v>
      </c>
      <c r="J72" s="224"/>
      <c r="K72" s="224"/>
      <c r="L72" s="224"/>
      <c r="M72" s="226"/>
      <c r="N72" s="226"/>
      <c r="O72" s="226"/>
      <c r="P72" s="225">
        <f t="shared" si="0"/>
        <v>100</v>
      </c>
    </row>
    <row r="73" spans="1:16" x14ac:dyDescent="0.25">
      <c r="A73" s="198">
        <v>61</v>
      </c>
      <c r="B73" s="203" t="s">
        <v>44</v>
      </c>
      <c r="C73" s="195" t="s">
        <v>164</v>
      </c>
      <c r="D73" s="63" t="s">
        <v>110</v>
      </c>
      <c r="E73" s="198">
        <v>1000000000</v>
      </c>
      <c r="F73" s="198"/>
      <c r="G73" s="32">
        <f>G78+G74</f>
        <v>5496.32</v>
      </c>
      <c r="H73" s="32">
        <f t="shared" ref="H73:I73" si="27">H78+H74</f>
        <v>5496.32</v>
      </c>
      <c r="I73" s="32">
        <f t="shared" si="27"/>
        <v>5496.32</v>
      </c>
      <c r="J73" s="224"/>
      <c r="K73" s="224"/>
      <c r="L73" s="224"/>
      <c r="M73" s="226"/>
      <c r="N73" s="226"/>
      <c r="O73" s="226"/>
      <c r="P73" s="225">
        <f t="shared" si="0"/>
        <v>100</v>
      </c>
    </row>
    <row r="74" spans="1:16" x14ac:dyDescent="0.25">
      <c r="A74" s="198">
        <v>62</v>
      </c>
      <c r="B74" s="197" t="s">
        <v>142</v>
      </c>
      <c r="C74" s="195" t="s">
        <v>164</v>
      </c>
      <c r="D74" s="63" t="s">
        <v>110</v>
      </c>
      <c r="E74" s="198">
        <v>1020000000</v>
      </c>
      <c r="F74" s="198"/>
      <c r="G74" s="32">
        <f>G75</f>
        <v>345.4</v>
      </c>
      <c r="H74" s="32">
        <f t="shared" ref="H74:I74" si="28">H75</f>
        <v>345.4</v>
      </c>
      <c r="I74" s="32">
        <f t="shared" si="28"/>
        <v>345.4</v>
      </c>
      <c r="J74" s="224"/>
      <c r="K74" s="224"/>
      <c r="L74" s="224"/>
      <c r="M74" s="226"/>
      <c r="N74" s="226"/>
      <c r="O74" s="226"/>
      <c r="P74" s="225">
        <f t="shared" si="0"/>
        <v>100</v>
      </c>
    </row>
    <row r="75" spans="1:16" ht="60" x14ac:dyDescent="0.25">
      <c r="A75" s="198">
        <v>63</v>
      </c>
      <c r="B75" s="203" t="s">
        <v>510</v>
      </c>
      <c r="C75" s="195" t="s">
        <v>164</v>
      </c>
      <c r="D75" s="63" t="s">
        <v>110</v>
      </c>
      <c r="E75" s="198" t="s">
        <v>511</v>
      </c>
      <c r="F75" s="198"/>
      <c r="G75" s="32">
        <f>G76</f>
        <v>345.4</v>
      </c>
      <c r="H75" s="32">
        <f t="shared" ref="H75:I76" si="29">H76</f>
        <v>345.4</v>
      </c>
      <c r="I75" s="32">
        <f t="shared" si="29"/>
        <v>345.4</v>
      </c>
      <c r="J75" s="224"/>
      <c r="K75" s="224"/>
      <c r="L75" s="224"/>
      <c r="M75" s="226"/>
      <c r="N75" s="226"/>
      <c r="O75" s="226"/>
      <c r="P75" s="225">
        <f t="shared" si="0"/>
        <v>100</v>
      </c>
    </row>
    <row r="76" spans="1:16" x14ac:dyDescent="0.25">
      <c r="A76" s="198">
        <v>64</v>
      </c>
      <c r="B76" s="208" t="s">
        <v>19</v>
      </c>
      <c r="C76" s="195" t="s">
        <v>164</v>
      </c>
      <c r="D76" s="63" t="s">
        <v>110</v>
      </c>
      <c r="E76" s="198" t="s">
        <v>511</v>
      </c>
      <c r="F76" s="198">
        <v>500</v>
      </c>
      <c r="G76" s="32">
        <f>G77</f>
        <v>345.4</v>
      </c>
      <c r="H76" s="32">
        <f t="shared" si="29"/>
        <v>345.4</v>
      </c>
      <c r="I76" s="32">
        <f t="shared" si="29"/>
        <v>345.4</v>
      </c>
      <c r="J76" s="224"/>
      <c r="K76" s="224"/>
      <c r="L76" s="224"/>
      <c r="M76" s="226"/>
      <c r="N76" s="226"/>
      <c r="O76" s="226"/>
      <c r="P76" s="225">
        <f t="shared" si="0"/>
        <v>100</v>
      </c>
    </row>
    <row r="77" spans="1:16" x14ac:dyDescent="0.25">
      <c r="A77" s="198">
        <v>65</v>
      </c>
      <c r="B77" s="203" t="s">
        <v>406</v>
      </c>
      <c r="C77" s="195" t="s">
        <v>164</v>
      </c>
      <c r="D77" s="63" t="s">
        <v>110</v>
      </c>
      <c r="E77" s="198" t="s">
        <v>511</v>
      </c>
      <c r="F77" s="198">
        <v>520</v>
      </c>
      <c r="G77" s="32">
        <v>345.4</v>
      </c>
      <c r="H77" s="32">
        <v>345.4</v>
      </c>
      <c r="I77" s="32">
        <v>345.4</v>
      </c>
      <c r="J77" s="32">
        <v>345.4</v>
      </c>
      <c r="K77" s="32">
        <v>345.4</v>
      </c>
      <c r="L77" s="32">
        <v>345.4</v>
      </c>
      <c r="M77" s="226"/>
      <c r="N77" s="226"/>
      <c r="O77" s="226"/>
      <c r="P77" s="225">
        <f t="shared" si="0"/>
        <v>100</v>
      </c>
    </row>
    <row r="78" spans="1:16" x14ac:dyDescent="0.25">
      <c r="A78" s="198">
        <v>66</v>
      </c>
      <c r="B78" s="203" t="s">
        <v>263</v>
      </c>
      <c r="C78" s="195" t="s">
        <v>164</v>
      </c>
      <c r="D78" s="63" t="s">
        <v>110</v>
      </c>
      <c r="E78" s="198">
        <v>1040000000</v>
      </c>
      <c r="F78" s="198"/>
      <c r="G78" s="32">
        <f>G79</f>
        <v>5150.92</v>
      </c>
      <c r="H78" s="32">
        <f t="shared" ref="H78:I80" si="30">H79</f>
        <v>5150.92</v>
      </c>
      <c r="I78" s="32">
        <f t="shared" si="30"/>
        <v>5150.92</v>
      </c>
      <c r="J78" s="224"/>
      <c r="K78" s="224"/>
      <c r="L78" s="224"/>
      <c r="M78" s="226"/>
      <c r="N78" s="226"/>
      <c r="O78" s="226"/>
      <c r="P78" s="225">
        <f t="shared" ref="P78:P141" si="31">I78/H78*100</f>
        <v>100</v>
      </c>
    </row>
    <row r="79" spans="1:16" ht="60" x14ac:dyDescent="0.25">
      <c r="A79" s="198">
        <v>67</v>
      </c>
      <c r="B79" s="203" t="s">
        <v>405</v>
      </c>
      <c r="C79" s="195" t="s">
        <v>164</v>
      </c>
      <c r="D79" s="63" t="s">
        <v>110</v>
      </c>
      <c r="E79" s="198" t="s">
        <v>277</v>
      </c>
      <c r="F79" s="198"/>
      <c r="G79" s="32">
        <f>G80</f>
        <v>5150.92</v>
      </c>
      <c r="H79" s="32">
        <f t="shared" si="30"/>
        <v>5150.92</v>
      </c>
      <c r="I79" s="32">
        <f t="shared" si="30"/>
        <v>5150.92</v>
      </c>
      <c r="J79" s="224"/>
      <c r="K79" s="224"/>
      <c r="L79" s="224"/>
      <c r="M79" s="226"/>
      <c r="N79" s="226"/>
      <c r="O79" s="226"/>
      <c r="P79" s="225">
        <f t="shared" si="31"/>
        <v>100</v>
      </c>
    </row>
    <row r="80" spans="1:16" x14ac:dyDescent="0.25">
      <c r="A80" s="198">
        <v>68</v>
      </c>
      <c r="B80" s="208" t="s">
        <v>19</v>
      </c>
      <c r="C80" s="195" t="s">
        <v>164</v>
      </c>
      <c r="D80" s="63" t="s">
        <v>110</v>
      </c>
      <c r="E80" s="198" t="s">
        <v>277</v>
      </c>
      <c r="F80" s="198">
        <v>500</v>
      </c>
      <c r="G80" s="32">
        <f>G81</f>
        <v>5150.92</v>
      </c>
      <c r="H80" s="32">
        <f t="shared" si="30"/>
        <v>5150.92</v>
      </c>
      <c r="I80" s="32">
        <f t="shared" si="30"/>
        <v>5150.92</v>
      </c>
      <c r="J80" s="224"/>
      <c r="K80" s="224"/>
      <c r="L80" s="224"/>
      <c r="M80" s="226"/>
      <c r="N80" s="226"/>
      <c r="O80" s="226"/>
      <c r="P80" s="225">
        <f t="shared" si="31"/>
        <v>100</v>
      </c>
    </row>
    <row r="81" spans="1:16" x14ac:dyDescent="0.25">
      <c r="A81" s="198">
        <v>69</v>
      </c>
      <c r="B81" s="203" t="s">
        <v>406</v>
      </c>
      <c r="C81" s="195" t="s">
        <v>164</v>
      </c>
      <c r="D81" s="63" t="s">
        <v>110</v>
      </c>
      <c r="E81" s="198" t="s">
        <v>277</v>
      </c>
      <c r="F81" s="198">
        <v>520</v>
      </c>
      <c r="G81" s="32">
        <v>5150.92</v>
      </c>
      <c r="H81" s="32">
        <v>5150.92</v>
      </c>
      <c r="I81" s="32">
        <v>5150.92</v>
      </c>
      <c r="J81" s="224">
        <v>0</v>
      </c>
      <c r="K81" s="224">
        <v>5.17</v>
      </c>
      <c r="L81" s="224">
        <v>5926.9</v>
      </c>
      <c r="M81" s="226"/>
      <c r="N81" s="226"/>
      <c r="O81" s="226"/>
      <c r="P81" s="225">
        <f t="shared" si="31"/>
        <v>100</v>
      </c>
    </row>
    <row r="82" spans="1:16" x14ac:dyDescent="0.25">
      <c r="A82" s="198">
        <v>70</v>
      </c>
      <c r="B82" s="203" t="s">
        <v>112</v>
      </c>
      <c r="C82" s="195" t="s">
        <v>164</v>
      </c>
      <c r="D82" s="63" t="s">
        <v>113</v>
      </c>
      <c r="E82" s="198"/>
      <c r="F82" s="198"/>
      <c r="G82" s="32">
        <f>G92+G83+G104</f>
        <v>138938.04999999999</v>
      </c>
      <c r="H82" s="32">
        <f t="shared" ref="H82:I82" si="32">H92+H83+H104</f>
        <v>138938.04999999999</v>
      </c>
      <c r="I82" s="32">
        <f t="shared" si="32"/>
        <v>137281.22</v>
      </c>
      <c r="J82" s="224"/>
      <c r="K82" s="224"/>
      <c r="L82" s="224"/>
      <c r="M82" s="226"/>
      <c r="N82" s="226"/>
      <c r="O82" s="226"/>
      <c r="P82" s="225">
        <f t="shared" si="31"/>
        <v>98.807504495708713</v>
      </c>
    </row>
    <row r="83" spans="1:16" x14ac:dyDescent="0.25">
      <c r="A83" s="198">
        <v>71</v>
      </c>
      <c r="B83" s="203" t="s">
        <v>408</v>
      </c>
      <c r="C83" s="195" t="s">
        <v>164</v>
      </c>
      <c r="D83" s="63" t="s">
        <v>409</v>
      </c>
      <c r="E83" s="198"/>
      <c r="F83" s="198"/>
      <c r="G83" s="32">
        <f>G84</f>
        <v>126785.31999999999</v>
      </c>
      <c r="H83" s="32">
        <f t="shared" ref="H83:I84" si="33">H84</f>
        <v>126785.32</v>
      </c>
      <c r="I83" s="32">
        <f t="shared" si="33"/>
        <v>126785.32</v>
      </c>
      <c r="J83" s="224"/>
      <c r="K83" s="224"/>
      <c r="L83" s="224"/>
      <c r="M83" s="226"/>
      <c r="N83" s="226"/>
      <c r="O83" s="226"/>
      <c r="P83" s="225">
        <f t="shared" si="31"/>
        <v>100</v>
      </c>
    </row>
    <row r="84" spans="1:16" ht="30" x14ac:dyDescent="0.25">
      <c r="A84" s="198">
        <v>72</v>
      </c>
      <c r="B84" s="203" t="s">
        <v>255</v>
      </c>
      <c r="C84" s="195" t="s">
        <v>164</v>
      </c>
      <c r="D84" s="63" t="s">
        <v>409</v>
      </c>
      <c r="E84" s="198">
        <v>1100000000</v>
      </c>
      <c r="F84" s="198"/>
      <c r="G84" s="32">
        <f>G85</f>
        <v>126785.31999999999</v>
      </c>
      <c r="H84" s="32">
        <f t="shared" si="33"/>
        <v>126785.32</v>
      </c>
      <c r="I84" s="32">
        <f t="shared" si="33"/>
        <v>126785.32</v>
      </c>
      <c r="J84" s="224"/>
      <c r="K84" s="224"/>
      <c r="L84" s="224"/>
      <c r="M84" s="226"/>
      <c r="N84" s="226"/>
      <c r="O84" s="226"/>
      <c r="P84" s="225">
        <f t="shared" si="31"/>
        <v>100</v>
      </c>
    </row>
    <row r="85" spans="1:16" x14ac:dyDescent="0.25">
      <c r="A85" s="198">
        <v>73</v>
      </c>
      <c r="B85" s="203" t="s">
        <v>143</v>
      </c>
      <c r="C85" s="195" t="s">
        <v>164</v>
      </c>
      <c r="D85" s="63" t="s">
        <v>409</v>
      </c>
      <c r="E85" s="198">
        <v>1110000000</v>
      </c>
      <c r="F85" s="198"/>
      <c r="G85" s="32">
        <f>G86+G89</f>
        <v>126785.31999999999</v>
      </c>
      <c r="H85" s="32">
        <f t="shared" ref="H85:I85" si="34">H86+H89</f>
        <v>126785.32</v>
      </c>
      <c r="I85" s="32">
        <f t="shared" si="34"/>
        <v>126785.32</v>
      </c>
      <c r="J85" s="224"/>
      <c r="K85" s="224"/>
      <c r="L85" s="224"/>
      <c r="M85" s="226"/>
      <c r="N85" s="226"/>
      <c r="O85" s="226"/>
      <c r="P85" s="225">
        <f t="shared" si="31"/>
        <v>100</v>
      </c>
    </row>
    <row r="86" spans="1:16" ht="75" x14ac:dyDescent="0.25">
      <c r="A86" s="198">
        <v>74</v>
      </c>
      <c r="B86" s="203" t="s">
        <v>410</v>
      </c>
      <c r="C86" s="195" t="s">
        <v>164</v>
      </c>
      <c r="D86" s="63" t="s">
        <v>409</v>
      </c>
      <c r="E86" s="198" t="s">
        <v>411</v>
      </c>
      <c r="F86" s="198"/>
      <c r="G86" s="32">
        <f>G87</f>
        <v>86830.39</v>
      </c>
      <c r="H86" s="32">
        <f t="shared" ref="H86:I87" si="35">H87</f>
        <v>86830.39</v>
      </c>
      <c r="I86" s="32">
        <f t="shared" si="35"/>
        <v>86830.39</v>
      </c>
      <c r="J86" s="224"/>
      <c r="K86" s="224"/>
      <c r="L86" s="224"/>
      <c r="M86" s="226"/>
      <c r="N86" s="226"/>
      <c r="O86" s="226"/>
      <c r="P86" s="225">
        <f t="shared" si="31"/>
        <v>100</v>
      </c>
    </row>
    <row r="87" spans="1:16" x14ac:dyDescent="0.25">
      <c r="A87" s="198">
        <v>75</v>
      </c>
      <c r="B87" s="208" t="s">
        <v>19</v>
      </c>
      <c r="C87" s="195" t="s">
        <v>164</v>
      </c>
      <c r="D87" s="63" t="s">
        <v>409</v>
      </c>
      <c r="E87" s="198" t="s">
        <v>411</v>
      </c>
      <c r="F87" s="198">
        <v>500</v>
      </c>
      <c r="G87" s="32">
        <f>G88</f>
        <v>86830.39</v>
      </c>
      <c r="H87" s="32">
        <f t="shared" si="35"/>
        <v>86830.39</v>
      </c>
      <c r="I87" s="32">
        <f t="shared" si="35"/>
        <v>86830.39</v>
      </c>
      <c r="J87" s="224"/>
      <c r="K87" s="224"/>
      <c r="L87" s="224"/>
      <c r="M87" s="226"/>
      <c r="N87" s="226"/>
      <c r="O87" s="226"/>
      <c r="P87" s="225">
        <f t="shared" si="31"/>
        <v>100</v>
      </c>
    </row>
    <row r="88" spans="1:16" x14ac:dyDescent="0.25">
      <c r="A88" s="198">
        <v>76</v>
      </c>
      <c r="B88" s="203" t="s">
        <v>406</v>
      </c>
      <c r="C88" s="195" t="s">
        <v>164</v>
      </c>
      <c r="D88" s="63" t="s">
        <v>409</v>
      </c>
      <c r="E88" s="198" t="s">
        <v>411</v>
      </c>
      <c r="F88" s="198">
        <v>520</v>
      </c>
      <c r="G88" s="32">
        <f>92498.9-5668.51</f>
        <v>86830.39</v>
      </c>
      <c r="H88" s="32">
        <v>86830.39</v>
      </c>
      <c r="I88" s="32">
        <v>86830.39</v>
      </c>
      <c r="J88" s="224">
        <v>-5668.51</v>
      </c>
      <c r="K88" s="224">
        <v>-4589.34</v>
      </c>
      <c r="L88" s="224"/>
      <c r="M88" s="226"/>
      <c r="N88" s="226"/>
      <c r="O88" s="226"/>
      <c r="P88" s="225">
        <f t="shared" si="31"/>
        <v>100</v>
      </c>
    </row>
    <row r="89" spans="1:16" ht="60" x14ac:dyDescent="0.25">
      <c r="A89" s="198">
        <v>77</v>
      </c>
      <c r="B89" s="203" t="s">
        <v>412</v>
      </c>
      <c r="C89" s="195" t="s">
        <v>164</v>
      </c>
      <c r="D89" s="63" t="s">
        <v>409</v>
      </c>
      <c r="E89" s="198" t="s">
        <v>413</v>
      </c>
      <c r="F89" s="198"/>
      <c r="G89" s="32">
        <f>G90</f>
        <v>39954.929999999993</v>
      </c>
      <c r="H89" s="32">
        <f t="shared" ref="H89:I90" si="36">H90</f>
        <v>39954.93</v>
      </c>
      <c r="I89" s="32">
        <f t="shared" si="36"/>
        <v>39954.93</v>
      </c>
      <c r="J89" s="224"/>
      <c r="K89" s="224"/>
      <c r="L89" s="224"/>
      <c r="M89" s="226"/>
      <c r="N89" s="226"/>
      <c r="O89" s="226"/>
      <c r="P89" s="225">
        <f t="shared" si="31"/>
        <v>100</v>
      </c>
    </row>
    <row r="90" spans="1:16" x14ac:dyDescent="0.25">
      <c r="A90" s="198">
        <v>78</v>
      </c>
      <c r="B90" s="208" t="s">
        <v>19</v>
      </c>
      <c r="C90" s="195" t="s">
        <v>164</v>
      </c>
      <c r="D90" s="63" t="s">
        <v>409</v>
      </c>
      <c r="E90" s="198" t="s">
        <v>413</v>
      </c>
      <c r="F90" s="198">
        <v>500</v>
      </c>
      <c r="G90" s="32">
        <f>G91</f>
        <v>39954.929999999993</v>
      </c>
      <c r="H90" s="32">
        <f t="shared" si="36"/>
        <v>39954.93</v>
      </c>
      <c r="I90" s="32">
        <f t="shared" si="36"/>
        <v>39954.93</v>
      </c>
      <c r="J90" s="224"/>
      <c r="K90" s="224"/>
      <c r="L90" s="224"/>
      <c r="M90" s="226"/>
      <c r="N90" s="226"/>
      <c r="O90" s="226"/>
      <c r="P90" s="225">
        <f t="shared" si="31"/>
        <v>100</v>
      </c>
    </row>
    <row r="91" spans="1:16" x14ac:dyDescent="0.25">
      <c r="A91" s="198">
        <v>79</v>
      </c>
      <c r="B91" s="203" t="s">
        <v>406</v>
      </c>
      <c r="C91" s="195" t="s">
        <v>164</v>
      </c>
      <c r="D91" s="63" t="s">
        <v>409</v>
      </c>
      <c r="E91" s="198" t="s">
        <v>413</v>
      </c>
      <c r="F91" s="198">
        <v>520</v>
      </c>
      <c r="G91" s="32">
        <f>32812.77+7142.16</f>
        <v>39954.929999999993</v>
      </c>
      <c r="H91" s="32">
        <v>39954.93</v>
      </c>
      <c r="I91" s="32">
        <v>39954.93</v>
      </c>
      <c r="J91" s="224">
        <v>7142.16</v>
      </c>
      <c r="K91" s="224">
        <v>5009.49</v>
      </c>
      <c r="L91" s="224"/>
      <c r="M91" s="226"/>
      <c r="N91" s="226"/>
      <c r="O91" s="226"/>
      <c r="P91" s="225">
        <f t="shared" si="31"/>
        <v>100</v>
      </c>
    </row>
    <row r="92" spans="1:16" x14ac:dyDescent="0.25">
      <c r="A92" s="198">
        <v>80</v>
      </c>
      <c r="B92" s="203" t="s">
        <v>304</v>
      </c>
      <c r="C92" s="195" t="s">
        <v>164</v>
      </c>
      <c r="D92" s="63" t="s">
        <v>305</v>
      </c>
      <c r="E92" s="198"/>
      <c r="F92" s="198"/>
      <c r="G92" s="32">
        <f t="shared" ref="G92:I93" si="37">G93</f>
        <v>3022.73</v>
      </c>
      <c r="H92" s="32">
        <f t="shared" si="37"/>
        <v>3022.73</v>
      </c>
      <c r="I92" s="32">
        <f t="shared" si="37"/>
        <v>2865.77</v>
      </c>
      <c r="J92" s="224"/>
      <c r="K92" s="224"/>
      <c r="L92" s="224"/>
      <c r="M92" s="226"/>
      <c r="N92" s="226"/>
      <c r="O92" s="226"/>
      <c r="P92" s="225">
        <f t="shared" si="31"/>
        <v>94.807343030968696</v>
      </c>
    </row>
    <row r="93" spans="1:16" x14ac:dyDescent="0.25">
      <c r="A93" s="198">
        <v>81</v>
      </c>
      <c r="B93" s="203" t="s">
        <v>327</v>
      </c>
      <c r="C93" s="195" t="s">
        <v>164</v>
      </c>
      <c r="D93" s="63" t="s">
        <v>305</v>
      </c>
      <c r="E93" s="195" t="s">
        <v>183</v>
      </c>
      <c r="F93" s="198"/>
      <c r="G93" s="32">
        <f t="shared" si="37"/>
        <v>3022.73</v>
      </c>
      <c r="H93" s="32">
        <f t="shared" si="37"/>
        <v>3022.73</v>
      </c>
      <c r="I93" s="32">
        <f t="shared" si="37"/>
        <v>2865.77</v>
      </c>
      <c r="J93" s="224"/>
      <c r="K93" s="224"/>
      <c r="L93" s="224"/>
      <c r="M93" s="226"/>
      <c r="N93" s="226"/>
      <c r="O93" s="226"/>
      <c r="P93" s="225">
        <f t="shared" si="31"/>
        <v>94.807343030968696</v>
      </c>
    </row>
    <row r="94" spans="1:16" x14ac:dyDescent="0.25">
      <c r="A94" s="198">
        <v>82</v>
      </c>
      <c r="B94" s="203" t="s">
        <v>306</v>
      </c>
      <c r="C94" s="195" t="s">
        <v>164</v>
      </c>
      <c r="D94" s="63" t="s">
        <v>305</v>
      </c>
      <c r="E94" s="195" t="s">
        <v>198</v>
      </c>
      <c r="F94" s="198"/>
      <c r="G94" s="32">
        <f>G95+G98+G101</f>
        <v>3022.73</v>
      </c>
      <c r="H94" s="32">
        <f t="shared" ref="H94:O94" si="38">H95+H98+H101</f>
        <v>3022.73</v>
      </c>
      <c r="I94" s="32">
        <f t="shared" si="38"/>
        <v>2865.77</v>
      </c>
      <c r="J94" s="32">
        <f t="shared" si="38"/>
        <v>0</v>
      </c>
      <c r="K94" s="32">
        <f t="shared" si="38"/>
        <v>0</v>
      </c>
      <c r="L94" s="32">
        <f t="shared" si="38"/>
        <v>0</v>
      </c>
      <c r="M94" s="32">
        <f t="shared" si="38"/>
        <v>0</v>
      </c>
      <c r="N94" s="32">
        <f t="shared" si="38"/>
        <v>0</v>
      </c>
      <c r="O94" s="219">
        <f t="shared" si="38"/>
        <v>0</v>
      </c>
      <c r="P94" s="225">
        <f t="shared" si="31"/>
        <v>94.807343030968696</v>
      </c>
    </row>
    <row r="95" spans="1:16" ht="45" x14ac:dyDescent="0.25">
      <c r="A95" s="198">
        <v>83</v>
      </c>
      <c r="B95" s="203" t="s">
        <v>512</v>
      </c>
      <c r="C95" s="195" t="s">
        <v>164</v>
      </c>
      <c r="D95" s="63" t="s">
        <v>305</v>
      </c>
      <c r="E95" s="195" t="s">
        <v>513</v>
      </c>
      <c r="F95" s="198"/>
      <c r="G95" s="32">
        <f>G96</f>
        <v>1000</v>
      </c>
      <c r="H95" s="32">
        <f t="shared" ref="H95:I96" si="39">H96</f>
        <v>1000</v>
      </c>
      <c r="I95" s="32">
        <f t="shared" si="39"/>
        <v>854.44</v>
      </c>
      <c r="J95" s="224"/>
      <c r="K95" s="224"/>
      <c r="L95" s="224"/>
      <c r="M95" s="226"/>
      <c r="N95" s="226"/>
      <c r="O95" s="226"/>
      <c r="P95" s="225">
        <f t="shared" si="31"/>
        <v>85.444000000000003</v>
      </c>
    </row>
    <row r="96" spans="1:16" x14ac:dyDescent="0.25">
      <c r="A96" s="198">
        <v>84</v>
      </c>
      <c r="B96" s="208" t="s">
        <v>19</v>
      </c>
      <c r="C96" s="195" t="s">
        <v>164</v>
      </c>
      <c r="D96" s="63" t="s">
        <v>305</v>
      </c>
      <c r="E96" s="195" t="s">
        <v>513</v>
      </c>
      <c r="F96" s="198">
        <v>500</v>
      </c>
      <c r="G96" s="32">
        <f>G97</f>
        <v>1000</v>
      </c>
      <c r="H96" s="32">
        <f t="shared" si="39"/>
        <v>1000</v>
      </c>
      <c r="I96" s="32">
        <f t="shared" si="39"/>
        <v>854.44</v>
      </c>
      <c r="J96" s="224"/>
      <c r="K96" s="224"/>
      <c r="L96" s="224"/>
      <c r="M96" s="226"/>
      <c r="N96" s="226"/>
      <c r="O96" s="226"/>
      <c r="P96" s="225">
        <f t="shared" si="31"/>
        <v>85.444000000000003</v>
      </c>
    </row>
    <row r="97" spans="1:16" x14ac:dyDescent="0.25">
      <c r="A97" s="198">
        <v>85</v>
      </c>
      <c r="B97" s="203" t="s">
        <v>406</v>
      </c>
      <c r="C97" s="195" t="s">
        <v>164</v>
      </c>
      <c r="D97" s="63" t="s">
        <v>305</v>
      </c>
      <c r="E97" s="195" t="s">
        <v>513</v>
      </c>
      <c r="F97" s="198">
        <v>520</v>
      </c>
      <c r="G97" s="32">
        <v>1000</v>
      </c>
      <c r="H97" s="32">
        <v>1000</v>
      </c>
      <c r="I97" s="32">
        <v>854.44</v>
      </c>
      <c r="J97" s="224">
        <v>1000</v>
      </c>
      <c r="K97" s="224"/>
      <c r="L97" s="224"/>
      <c r="M97" s="226"/>
      <c r="N97" s="226"/>
      <c r="O97" s="226"/>
      <c r="P97" s="225">
        <f t="shared" si="31"/>
        <v>85.444000000000003</v>
      </c>
    </row>
    <row r="98" spans="1:16" ht="60" x14ac:dyDescent="0.25">
      <c r="A98" s="198">
        <v>86</v>
      </c>
      <c r="B98" s="203" t="s">
        <v>514</v>
      </c>
      <c r="C98" s="195" t="s">
        <v>164</v>
      </c>
      <c r="D98" s="63" t="s">
        <v>305</v>
      </c>
      <c r="E98" s="195" t="s">
        <v>515</v>
      </c>
      <c r="F98" s="198"/>
      <c r="G98" s="32">
        <f>G99</f>
        <v>1772.73</v>
      </c>
      <c r="H98" s="32">
        <f t="shared" ref="H98:I99" si="40">H99</f>
        <v>1772.73</v>
      </c>
      <c r="I98" s="32">
        <f t="shared" si="40"/>
        <v>1772.73</v>
      </c>
      <c r="J98" s="224"/>
      <c r="K98" s="224"/>
      <c r="L98" s="224"/>
      <c r="M98" s="226"/>
      <c r="N98" s="226"/>
      <c r="O98" s="226"/>
      <c r="P98" s="225">
        <f t="shared" si="31"/>
        <v>100</v>
      </c>
    </row>
    <row r="99" spans="1:16" x14ac:dyDescent="0.25">
      <c r="A99" s="198">
        <v>87</v>
      </c>
      <c r="B99" s="208" t="s">
        <v>19</v>
      </c>
      <c r="C99" s="195" t="s">
        <v>164</v>
      </c>
      <c r="D99" s="63" t="s">
        <v>305</v>
      </c>
      <c r="E99" s="195" t="s">
        <v>515</v>
      </c>
      <c r="F99" s="198">
        <v>500</v>
      </c>
      <c r="G99" s="32">
        <f>G100</f>
        <v>1772.73</v>
      </c>
      <c r="H99" s="32">
        <f t="shared" si="40"/>
        <v>1772.73</v>
      </c>
      <c r="I99" s="32">
        <f t="shared" si="40"/>
        <v>1772.73</v>
      </c>
      <c r="J99" s="224"/>
      <c r="K99" s="224"/>
      <c r="L99" s="224"/>
      <c r="M99" s="226"/>
      <c r="N99" s="226"/>
      <c r="O99" s="226"/>
      <c r="P99" s="225">
        <f t="shared" si="31"/>
        <v>100</v>
      </c>
    </row>
    <row r="100" spans="1:16" x14ac:dyDescent="0.25">
      <c r="A100" s="198">
        <v>88</v>
      </c>
      <c r="B100" s="203" t="s">
        <v>406</v>
      </c>
      <c r="C100" s="195" t="s">
        <v>164</v>
      </c>
      <c r="D100" s="63" t="s">
        <v>305</v>
      </c>
      <c r="E100" s="195" t="s">
        <v>515</v>
      </c>
      <c r="F100" s="198">
        <v>520</v>
      </c>
      <c r="G100" s="32">
        <v>1772.73</v>
      </c>
      <c r="H100" s="32">
        <v>1772.73</v>
      </c>
      <c r="I100" s="32">
        <v>1772.73</v>
      </c>
      <c r="J100" s="224">
        <v>1772.73</v>
      </c>
      <c r="K100" s="224"/>
      <c r="L100" s="224"/>
      <c r="M100" s="226"/>
      <c r="N100" s="226"/>
      <c r="O100" s="226"/>
      <c r="P100" s="225">
        <f t="shared" si="31"/>
        <v>100</v>
      </c>
    </row>
    <row r="101" spans="1:16" ht="45" x14ac:dyDescent="0.25">
      <c r="A101" s="198">
        <v>89</v>
      </c>
      <c r="B101" s="203" t="s">
        <v>516</v>
      </c>
      <c r="C101" s="195" t="s">
        <v>164</v>
      </c>
      <c r="D101" s="63" t="s">
        <v>305</v>
      </c>
      <c r="E101" s="195" t="s">
        <v>517</v>
      </c>
      <c r="F101" s="198"/>
      <c r="G101" s="32">
        <f>G102</f>
        <v>250</v>
      </c>
      <c r="H101" s="32">
        <f t="shared" ref="H101:I102" si="41">H102</f>
        <v>250</v>
      </c>
      <c r="I101" s="32">
        <f t="shared" si="41"/>
        <v>238.6</v>
      </c>
      <c r="J101" s="224"/>
      <c r="K101" s="224"/>
      <c r="L101" s="224"/>
      <c r="M101" s="226"/>
      <c r="N101" s="226"/>
      <c r="O101" s="226"/>
      <c r="P101" s="225">
        <f t="shared" si="31"/>
        <v>95.44</v>
      </c>
    </row>
    <row r="102" spans="1:16" x14ac:dyDescent="0.25">
      <c r="A102" s="198">
        <v>90</v>
      </c>
      <c r="B102" s="208" t="s">
        <v>19</v>
      </c>
      <c r="C102" s="195" t="s">
        <v>164</v>
      </c>
      <c r="D102" s="63" t="s">
        <v>305</v>
      </c>
      <c r="E102" s="195" t="s">
        <v>517</v>
      </c>
      <c r="F102" s="198">
        <v>500</v>
      </c>
      <c r="G102" s="32">
        <f>G103</f>
        <v>250</v>
      </c>
      <c r="H102" s="32">
        <f t="shared" si="41"/>
        <v>250</v>
      </c>
      <c r="I102" s="32">
        <f t="shared" si="41"/>
        <v>238.6</v>
      </c>
      <c r="J102" s="224"/>
      <c r="K102" s="224"/>
      <c r="L102" s="224"/>
      <c r="M102" s="226"/>
      <c r="N102" s="226"/>
      <c r="O102" s="226"/>
      <c r="P102" s="225">
        <f t="shared" si="31"/>
        <v>95.44</v>
      </c>
    </row>
    <row r="103" spans="1:16" x14ac:dyDescent="0.25">
      <c r="A103" s="198">
        <v>91</v>
      </c>
      <c r="B103" s="203" t="s">
        <v>406</v>
      </c>
      <c r="C103" s="195" t="s">
        <v>164</v>
      </c>
      <c r="D103" s="63" t="s">
        <v>305</v>
      </c>
      <c r="E103" s="195" t="s">
        <v>517</v>
      </c>
      <c r="F103" s="198">
        <v>520</v>
      </c>
      <c r="G103" s="32">
        <v>250</v>
      </c>
      <c r="H103" s="32">
        <v>250</v>
      </c>
      <c r="I103" s="32">
        <v>238.6</v>
      </c>
      <c r="J103" s="224">
        <v>250</v>
      </c>
      <c r="K103" s="224"/>
      <c r="L103" s="224"/>
      <c r="M103" s="226"/>
      <c r="N103" s="226"/>
      <c r="O103" s="226"/>
      <c r="P103" s="225">
        <f t="shared" si="31"/>
        <v>95.44</v>
      </c>
    </row>
    <row r="104" spans="1:16" x14ac:dyDescent="0.25">
      <c r="A104" s="198">
        <v>92</v>
      </c>
      <c r="B104" s="203" t="s">
        <v>468</v>
      </c>
      <c r="C104" s="195" t="s">
        <v>164</v>
      </c>
      <c r="D104" s="63" t="s">
        <v>469</v>
      </c>
      <c r="E104" s="195"/>
      <c r="F104" s="198"/>
      <c r="G104" s="32">
        <f>G105</f>
        <v>9130</v>
      </c>
      <c r="H104" s="32">
        <f t="shared" ref="H104:I104" si="42">H105</f>
        <v>9130</v>
      </c>
      <c r="I104" s="32">
        <f t="shared" si="42"/>
        <v>7630.13</v>
      </c>
      <c r="J104" s="224"/>
      <c r="K104" s="224"/>
      <c r="L104" s="224"/>
      <c r="M104" s="226"/>
      <c r="N104" s="226"/>
      <c r="O104" s="226"/>
      <c r="P104" s="225">
        <f t="shared" si="31"/>
        <v>83.57207009857612</v>
      </c>
    </row>
    <row r="105" spans="1:16" ht="30" x14ac:dyDescent="0.25">
      <c r="A105" s="198">
        <v>93</v>
      </c>
      <c r="B105" s="203" t="s">
        <v>470</v>
      </c>
      <c r="C105" s="195" t="s">
        <v>164</v>
      </c>
      <c r="D105" s="63" t="s">
        <v>469</v>
      </c>
      <c r="E105" s="195" t="s">
        <v>176</v>
      </c>
      <c r="F105" s="198"/>
      <c r="G105" s="32">
        <f>G106+G110</f>
        <v>9130</v>
      </c>
      <c r="H105" s="32">
        <f t="shared" ref="H105:I105" si="43">H106+H110</f>
        <v>9130</v>
      </c>
      <c r="I105" s="32">
        <f t="shared" si="43"/>
        <v>7630.13</v>
      </c>
      <c r="J105" s="224"/>
      <c r="K105" s="224"/>
      <c r="L105" s="224"/>
      <c r="M105" s="226"/>
      <c r="N105" s="226"/>
      <c r="O105" s="226"/>
      <c r="P105" s="225">
        <f t="shared" si="31"/>
        <v>83.57207009857612</v>
      </c>
    </row>
    <row r="106" spans="1:16" ht="30" x14ac:dyDescent="0.25">
      <c r="A106" s="198">
        <v>94</v>
      </c>
      <c r="B106" s="203" t="s">
        <v>471</v>
      </c>
      <c r="C106" s="195" t="s">
        <v>164</v>
      </c>
      <c r="D106" s="63" t="s">
        <v>469</v>
      </c>
      <c r="E106" s="195" t="s">
        <v>178</v>
      </c>
      <c r="F106" s="198"/>
      <c r="G106" s="32">
        <f>G107</f>
        <v>8270</v>
      </c>
      <c r="H106" s="32">
        <f t="shared" ref="H106:I106" si="44">H107</f>
        <v>8270</v>
      </c>
      <c r="I106" s="32">
        <f t="shared" si="44"/>
        <v>7630.13</v>
      </c>
      <c r="J106" s="224"/>
      <c r="K106" s="224"/>
      <c r="L106" s="224"/>
      <c r="M106" s="226"/>
      <c r="N106" s="226"/>
      <c r="O106" s="226"/>
      <c r="P106" s="225">
        <f t="shared" si="31"/>
        <v>92.262756952841599</v>
      </c>
    </row>
    <row r="107" spans="1:16" ht="150" customHeight="1" x14ac:dyDescent="0.25">
      <c r="A107" s="198">
        <v>95</v>
      </c>
      <c r="B107" s="203" t="s">
        <v>538</v>
      </c>
      <c r="C107" s="195" t="s">
        <v>164</v>
      </c>
      <c r="D107" s="63" t="s">
        <v>469</v>
      </c>
      <c r="E107" s="195" t="s">
        <v>539</v>
      </c>
      <c r="F107" s="198"/>
      <c r="G107" s="32">
        <f>G108</f>
        <v>8270</v>
      </c>
      <c r="H107" s="32">
        <f t="shared" ref="H107:I108" si="45">H108</f>
        <v>8270</v>
      </c>
      <c r="I107" s="32">
        <f t="shared" si="45"/>
        <v>7630.13</v>
      </c>
      <c r="J107" s="224"/>
      <c r="K107" s="224"/>
      <c r="L107" s="224"/>
      <c r="M107" s="226"/>
      <c r="N107" s="226"/>
      <c r="O107" s="226"/>
      <c r="P107" s="225">
        <f t="shared" si="31"/>
        <v>92.262756952841599</v>
      </c>
    </row>
    <row r="108" spans="1:16" x14ac:dyDescent="0.25">
      <c r="A108" s="198">
        <v>96</v>
      </c>
      <c r="B108" s="208" t="s">
        <v>19</v>
      </c>
      <c r="C108" s="195" t="s">
        <v>164</v>
      </c>
      <c r="D108" s="63" t="s">
        <v>469</v>
      </c>
      <c r="E108" s="195" t="s">
        <v>539</v>
      </c>
      <c r="F108" s="198">
        <v>500</v>
      </c>
      <c r="G108" s="32">
        <f>G109</f>
        <v>8270</v>
      </c>
      <c r="H108" s="32">
        <f t="shared" si="45"/>
        <v>8270</v>
      </c>
      <c r="I108" s="32">
        <f t="shared" si="45"/>
        <v>7630.13</v>
      </c>
      <c r="J108" s="224"/>
      <c r="K108" s="224"/>
      <c r="L108" s="224"/>
      <c r="M108" s="226"/>
      <c r="N108" s="226"/>
      <c r="O108" s="226"/>
      <c r="P108" s="225">
        <f t="shared" si="31"/>
        <v>92.262756952841599</v>
      </c>
    </row>
    <row r="109" spans="1:16" x14ac:dyDescent="0.25">
      <c r="A109" s="198">
        <v>97</v>
      </c>
      <c r="B109" s="203" t="s">
        <v>406</v>
      </c>
      <c r="C109" s="195" t="s">
        <v>164</v>
      </c>
      <c r="D109" s="63" t="s">
        <v>469</v>
      </c>
      <c r="E109" s="195" t="s">
        <v>539</v>
      </c>
      <c r="F109" s="198">
        <v>520</v>
      </c>
      <c r="G109" s="32">
        <v>8270</v>
      </c>
      <c r="H109" s="32">
        <v>8270</v>
      </c>
      <c r="I109" s="32">
        <v>7630.13</v>
      </c>
      <c r="J109" s="224">
        <v>8270</v>
      </c>
      <c r="K109" s="224"/>
      <c r="L109" s="224"/>
      <c r="M109" s="226"/>
      <c r="N109" s="226"/>
      <c r="O109" s="226"/>
      <c r="P109" s="225">
        <f t="shared" si="31"/>
        <v>92.262756952841599</v>
      </c>
    </row>
    <row r="110" spans="1:16" x14ac:dyDescent="0.25">
      <c r="A110" s="198">
        <v>98</v>
      </c>
      <c r="B110" s="203" t="s">
        <v>472</v>
      </c>
      <c r="C110" s="195" t="s">
        <v>164</v>
      </c>
      <c r="D110" s="63" t="s">
        <v>469</v>
      </c>
      <c r="E110" s="195" t="s">
        <v>177</v>
      </c>
      <c r="F110" s="198"/>
      <c r="G110" s="32">
        <f>G111</f>
        <v>860</v>
      </c>
      <c r="H110" s="32">
        <f t="shared" ref="H110:I110" si="46">H111</f>
        <v>860</v>
      </c>
      <c r="I110" s="32">
        <f t="shared" si="46"/>
        <v>0</v>
      </c>
      <c r="J110" s="224"/>
      <c r="K110" s="224"/>
      <c r="L110" s="224"/>
      <c r="M110" s="226"/>
      <c r="N110" s="226"/>
      <c r="O110" s="226"/>
      <c r="P110" s="225">
        <f t="shared" si="31"/>
        <v>0</v>
      </c>
    </row>
    <row r="111" spans="1:16" ht="45" x14ac:dyDescent="0.25">
      <c r="A111" s="198">
        <v>99</v>
      </c>
      <c r="B111" s="203" t="s">
        <v>474</v>
      </c>
      <c r="C111" s="195" t="s">
        <v>164</v>
      </c>
      <c r="D111" s="63" t="s">
        <v>469</v>
      </c>
      <c r="E111" s="195" t="s">
        <v>473</v>
      </c>
      <c r="F111" s="198"/>
      <c r="G111" s="32">
        <f>G112</f>
        <v>860</v>
      </c>
      <c r="H111" s="32">
        <f t="shared" ref="H111:I112" si="47">H112</f>
        <v>860</v>
      </c>
      <c r="I111" s="32">
        <f t="shared" si="47"/>
        <v>0</v>
      </c>
      <c r="J111" s="224"/>
      <c r="K111" s="224"/>
      <c r="L111" s="224"/>
      <c r="M111" s="226"/>
      <c r="N111" s="226"/>
      <c r="O111" s="226"/>
      <c r="P111" s="225">
        <f t="shared" si="31"/>
        <v>0</v>
      </c>
    </row>
    <row r="112" spans="1:16" x14ac:dyDescent="0.25">
      <c r="A112" s="198">
        <v>100</v>
      </c>
      <c r="B112" s="208" t="s">
        <v>19</v>
      </c>
      <c r="C112" s="195" t="s">
        <v>164</v>
      </c>
      <c r="D112" s="63" t="s">
        <v>469</v>
      </c>
      <c r="E112" s="195" t="s">
        <v>473</v>
      </c>
      <c r="F112" s="198">
        <v>500</v>
      </c>
      <c r="G112" s="32">
        <f>G113</f>
        <v>860</v>
      </c>
      <c r="H112" s="32">
        <f t="shared" si="47"/>
        <v>860</v>
      </c>
      <c r="I112" s="32">
        <f t="shared" si="47"/>
        <v>0</v>
      </c>
      <c r="J112" s="224"/>
      <c r="K112" s="224"/>
      <c r="L112" s="224"/>
      <c r="M112" s="226"/>
      <c r="N112" s="226"/>
      <c r="O112" s="226"/>
      <c r="P112" s="225">
        <f t="shared" si="31"/>
        <v>0</v>
      </c>
    </row>
    <row r="113" spans="1:16" x14ac:dyDescent="0.25">
      <c r="A113" s="198">
        <v>101</v>
      </c>
      <c r="B113" s="203" t="s">
        <v>406</v>
      </c>
      <c r="C113" s="195" t="s">
        <v>164</v>
      </c>
      <c r="D113" s="63" t="s">
        <v>469</v>
      </c>
      <c r="E113" s="195" t="s">
        <v>473</v>
      </c>
      <c r="F113" s="198">
        <v>520</v>
      </c>
      <c r="G113" s="32">
        <v>860</v>
      </c>
      <c r="H113" s="32">
        <v>860</v>
      </c>
      <c r="I113" s="32">
        <v>0</v>
      </c>
      <c r="J113" s="224">
        <v>-910</v>
      </c>
      <c r="K113" s="224">
        <v>860</v>
      </c>
      <c r="L113" s="224"/>
      <c r="M113" s="226"/>
      <c r="N113" s="226"/>
      <c r="O113" s="226"/>
      <c r="P113" s="225">
        <f t="shared" si="31"/>
        <v>0</v>
      </c>
    </row>
    <row r="114" spans="1:16" x14ac:dyDescent="0.25">
      <c r="A114" s="198">
        <v>102</v>
      </c>
      <c r="B114" s="203" t="s">
        <v>482</v>
      </c>
      <c r="C114" s="195" t="s">
        <v>164</v>
      </c>
      <c r="D114" s="63" t="s">
        <v>483</v>
      </c>
      <c r="E114" s="195"/>
      <c r="F114" s="198"/>
      <c r="G114" s="32">
        <f t="shared" ref="G114:G119" si="48">G115</f>
        <v>31</v>
      </c>
      <c r="H114" s="32">
        <f t="shared" ref="H114:I119" si="49">H115</f>
        <v>31</v>
      </c>
      <c r="I114" s="32">
        <f t="shared" si="49"/>
        <v>16.55</v>
      </c>
      <c r="J114" s="224"/>
      <c r="K114" s="224"/>
      <c r="L114" s="224"/>
      <c r="M114" s="226"/>
      <c r="N114" s="226"/>
      <c r="O114" s="226"/>
      <c r="P114" s="225">
        <f t="shared" si="31"/>
        <v>53.387096774193552</v>
      </c>
    </row>
    <row r="115" spans="1:16" x14ac:dyDescent="0.25">
      <c r="A115" s="198">
        <v>103</v>
      </c>
      <c r="B115" s="203" t="s">
        <v>484</v>
      </c>
      <c r="C115" s="195" t="s">
        <v>164</v>
      </c>
      <c r="D115" s="63" t="s">
        <v>485</v>
      </c>
      <c r="E115" s="195"/>
      <c r="F115" s="198"/>
      <c r="G115" s="32">
        <f t="shared" si="48"/>
        <v>31</v>
      </c>
      <c r="H115" s="32">
        <f t="shared" si="49"/>
        <v>31</v>
      </c>
      <c r="I115" s="32">
        <f t="shared" si="49"/>
        <v>16.55</v>
      </c>
      <c r="J115" s="224"/>
      <c r="K115" s="224"/>
      <c r="L115" s="224"/>
      <c r="M115" s="226"/>
      <c r="N115" s="226"/>
      <c r="O115" s="226"/>
      <c r="P115" s="225">
        <f t="shared" si="31"/>
        <v>53.387096774193552</v>
      </c>
    </row>
    <row r="116" spans="1:16" x14ac:dyDescent="0.25">
      <c r="A116" s="198">
        <v>104</v>
      </c>
      <c r="B116" s="199" t="s">
        <v>24</v>
      </c>
      <c r="C116" s="195" t="s">
        <v>164</v>
      </c>
      <c r="D116" s="63" t="s">
        <v>485</v>
      </c>
      <c r="E116" s="198">
        <v>9200000000</v>
      </c>
      <c r="F116" s="198"/>
      <c r="G116" s="32">
        <f t="shared" si="48"/>
        <v>31</v>
      </c>
      <c r="H116" s="32">
        <f t="shared" si="49"/>
        <v>31</v>
      </c>
      <c r="I116" s="32">
        <f t="shared" si="49"/>
        <v>16.55</v>
      </c>
      <c r="J116" s="224"/>
      <c r="K116" s="224"/>
      <c r="L116" s="224"/>
      <c r="M116" s="226"/>
      <c r="N116" s="226"/>
      <c r="O116" s="226"/>
      <c r="P116" s="225">
        <f t="shared" si="31"/>
        <v>53.387096774193552</v>
      </c>
    </row>
    <row r="117" spans="1:16" x14ac:dyDescent="0.25">
      <c r="A117" s="198">
        <v>105</v>
      </c>
      <c r="B117" s="199" t="s">
        <v>270</v>
      </c>
      <c r="C117" s="195" t="s">
        <v>164</v>
      </c>
      <c r="D117" s="63" t="s">
        <v>485</v>
      </c>
      <c r="E117" s="198">
        <v>9210000000</v>
      </c>
      <c r="F117" s="198"/>
      <c r="G117" s="32">
        <f t="shared" si="48"/>
        <v>31</v>
      </c>
      <c r="H117" s="32">
        <f t="shared" si="49"/>
        <v>31</v>
      </c>
      <c r="I117" s="32">
        <f t="shared" si="49"/>
        <v>16.55</v>
      </c>
      <c r="J117" s="224"/>
      <c r="K117" s="224"/>
      <c r="L117" s="224"/>
      <c r="M117" s="226"/>
      <c r="N117" s="226"/>
      <c r="O117" s="226"/>
      <c r="P117" s="225">
        <f t="shared" si="31"/>
        <v>53.387096774193552</v>
      </c>
    </row>
    <row r="118" spans="1:16" x14ac:dyDescent="0.25">
      <c r="A118" s="198">
        <v>106</v>
      </c>
      <c r="B118" s="199" t="s">
        <v>486</v>
      </c>
      <c r="C118" s="195" t="s">
        <v>164</v>
      </c>
      <c r="D118" s="63" t="s">
        <v>485</v>
      </c>
      <c r="E118" s="198">
        <v>9210000910</v>
      </c>
      <c r="F118" s="198"/>
      <c r="G118" s="32">
        <f t="shared" si="48"/>
        <v>31</v>
      </c>
      <c r="H118" s="32">
        <f t="shared" si="49"/>
        <v>31</v>
      </c>
      <c r="I118" s="32">
        <f t="shared" si="49"/>
        <v>16.55</v>
      </c>
      <c r="J118" s="224"/>
      <c r="K118" s="224"/>
      <c r="L118" s="224"/>
      <c r="M118" s="226"/>
      <c r="N118" s="226"/>
      <c r="O118" s="226"/>
      <c r="P118" s="225">
        <f t="shared" si="31"/>
        <v>53.387096774193552</v>
      </c>
    </row>
    <row r="119" spans="1:16" x14ac:dyDescent="0.25">
      <c r="A119" s="198">
        <v>107</v>
      </c>
      <c r="B119" s="199" t="s">
        <v>487</v>
      </c>
      <c r="C119" s="195" t="s">
        <v>164</v>
      </c>
      <c r="D119" s="63" t="s">
        <v>485</v>
      </c>
      <c r="E119" s="198">
        <v>9210000910</v>
      </c>
      <c r="F119" s="198">
        <v>700</v>
      </c>
      <c r="G119" s="32">
        <f t="shared" si="48"/>
        <v>31</v>
      </c>
      <c r="H119" s="32">
        <f t="shared" si="49"/>
        <v>31</v>
      </c>
      <c r="I119" s="32">
        <f t="shared" si="49"/>
        <v>16.55</v>
      </c>
      <c r="J119" s="224"/>
      <c r="K119" s="224"/>
      <c r="L119" s="224"/>
      <c r="M119" s="226"/>
      <c r="N119" s="226"/>
      <c r="O119" s="226"/>
      <c r="P119" s="225">
        <f t="shared" si="31"/>
        <v>53.387096774193552</v>
      </c>
    </row>
    <row r="120" spans="1:16" x14ac:dyDescent="0.25">
      <c r="A120" s="198">
        <v>108</v>
      </c>
      <c r="B120" s="199" t="s">
        <v>488</v>
      </c>
      <c r="C120" s="195" t="s">
        <v>164</v>
      </c>
      <c r="D120" s="63" t="s">
        <v>485</v>
      </c>
      <c r="E120" s="198">
        <v>9210000910</v>
      </c>
      <c r="F120" s="198">
        <v>730</v>
      </c>
      <c r="G120" s="32">
        <v>31</v>
      </c>
      <c r="H120" s="32">
        <v>31</v>
      </c>
      <c r="I120" s="32">
        <v>16.55</v>
      </c>
      <c r="J120" s="224"/>
      <c r="K120" s="224"/>
      <c r="L120" s="224"/>
      <c r="M120" s="226"/>
      <c r="N120" s="226"/>
      <c r="O120" s="226"/>
      <c r="P120" s="225">
        <f t="shared" si="31"/>
        <v>53.387096774193552</v>
      </c>
    </row>
    <row r="121" spans="1:16" ht="30" x14ac:dyDescent="0.25">
      <c r="A121" s="198">
        <v>109</v>
      </c>
      <c r="B121" s="64" t="s">
        <v>235</v>
      </c>
      <c r="C121" s="195" t="s">
        <v>164</v>
      </c>
      <c r="D121" s="195" t="s">
        <v>132</v>
      </c>
      <c r="E121" s="198"/>
      <c r="F121" s="198"/>
      <c r="G121" s="32">
        <f>G122+G131</f>
        <v>102759.66</v>
      </c>
      <c r="H121" s="32">
        <f t="shared" ref="H121:I121" si="50">H122+H131</f>
        <v>102759.66</v>
      </c>
      <c r="I121" s="32">
        <f t="shared" si="50"/>
        <v>100712.54999999999</v>
      </c>
      <c r="J121" s="224"/>
      <c r="K121" s="224"/>
      <c r="L121" s="224"/>
      <c r="M121" s="226"/>
      <c r="N121" s="226"/>
      <c r="O121" s="226"/>
      <c r="P121" s="225">
        <f t="shared" si="31"/>
        <v>98.007866121783564</v>
      </c>
    </row>
    <row r="122" spans="1:16" ht="30" x14ac:dyDescent="0.25">
      <c r="A122" s="198">
        <v>110</v>
      </c>
      <c r="B122" s="208" t="s">
        <v>27</v>
      </c>
      <c r="C122" s="195" t="s">
        <v>164</v>
      </c>
      <c r="D122" s="195" t="s">
        <v>133</v>
      </c>
      <c r="E122" s="198"/>
      <c r="F122" s="198"/>
      <c r="G122" s="32">
        <f>G123</f>
        <v>33022.589999999997</v>
      </c>
      <c r="H122" s="32">
        <f t="shared" ref="H122:I123" si="51">H123</f>
        <v>33022.589999999997</v>
      </c>
      <c r="I122" s="32">
        <f t="shared" si="51"/>
        <v>33022.589999999997</v>
      </c>
      <c r="J122" s="224"/>
      <c r="K122" s="224"/>
      <c r="L122" s="224"/>
      <c r="M122" s="226"/>
      <c r="N122" s="226"/>
      <c r="O122" s="226"/>
      <c r="P122" s="225">
        <f t="shared" si="31"/>
        <v>100</v>
      </c>
    </row>
    <row r="123" spans="1:16" x14ac:dyDescent="0.25">
      <c r="A123" s="198">
        <v>111</v>
      </c>
      <c r="B123" s="197" t="s">
        <v>338</v>
      </c>
      <c r="C123" s="195" t="s">
        <v>164</v>
      </c>
      <c r="D123" s="195" t="s">
        <v>133</v>
      </c>
      <c r="E123" s="195" t="s">
        <v>173</v>
      </c>
      <c r="F123" s="198"/>
      <c r="G123" s="32">
        <f>G124</f>
        <v>33022.589999999997</v>
      </c>
      <c r="H123" s="32">
        <f t="shared" si="51"/>
        <v>33022.589999999997</v>
      </c>
      <c r="I123" s="32">
        <f t="shared" si="51"/>
        <v>33022.589999999997</v>
      </c>
      <c r="J123" s="224"/>
      <c r="K123" s="224"/>
      <c r="L123" s="224"/>
      <c r="M123" s="226"/>
      <c r="N123" s="226"/>
      <c r="O123" s="226"/>
      <c r="P123" s="225">
        <f t="shared" si="31"/>
        <v>100</v>
      </c>
    </row>
    <row r="124" spans="1:16" ht="30" x14ac:dyDescent="0.25">
      <c r="A124" s="198">
        <v>112</v>
      </c>
      <c r="B124" s="197" t="s">
        <v>28</v>
      </c>
      <c r="C124" s="195" t="s">
        <v>164</v>
      </c>
      <c r="D124" s="195" t="s">
        <v>133</v>
      </c>
      <c r="E124" s="195" t="s">
        <v>179</v>
      </c>
      <c r="F124" s="198"/>
      <c r="G124" s="32">
        <f>G125+G128</f>
        <v>33022.589999999997</v>
      </c>
      <c r="H124" s="32">
        <f t="shared" ref="H124:I124" si="52">H125+H128</f>
        <v>33022.589999999997</v>
      </c>
      <c r="I124" s="32">
        <f t="shared" si="52"/>
        <v>33022.589999999997</v>
      </c>
      <c r="J124" s="224"/>
      <c r="K124" s="224"/>
      <c r="L124" s="224"/>
      <c r="M124" s="226"/>
      <c r="N124" s="226"/>
      <c r="O124" s="226"/>
      <c r="P124" s="225">
        <f t="shared" si="31"/>
        <v>100</v>
      </c>
    </row>
    <row r="125" spans="1:16" ht="90" x14ac:dyDescent="0.25">
      <c r="A125" s="198">
        <v>113</v>
      </c>
      <c r="B125" s="197" t="s">
        <v>463</v>
      </c>
      <c r="C125" s="195" t="s">
        <v>164</v>
      </c>
      <c r="D125" s="195" t="s">
        <v>133</v>
      </c>
      <c r="E125" s="195" t="s">
        <v>180</v>
      </c>
      <c r="F125" s="198"/>
      <c r="G125" s="32">
        <f>G126</f>
        <v>13931</v>
      </c>
      <c r="H125" s="32">
        <f t="shared" ref="H125:I125" si="53">H126</f>
        <v>13931</v>
      </c>
      <c r="I125" s="32">
        <f t="shared" si="53"/>
        <v>13931</v>
      </c>
      <c r="J125" s="224"/>
      <c r="K125" s="224"/>
      <c r="L125" s="224"/>
      <c r="M125" s="226"/>
      <c r="N125" s="226"/>
      <c r="O125" s="226"/>
      <c r="P125" s="225">
        <f t="shared" si="31"/>
        <v>100</v>
      </c>
    </row>
    <row r="126" spans="1:16" x14ac:dyDescent="0.25">
      <c r="A126" s="198">
        <v>114</v>
      </c>
      <c r="B126" s="208" t="s">
        <v>19</v>
      </c>
      <c r="C126" s="195" t="s">
        <v>164</v>
      </c>
      <c r="D126" s="195" t="s">
        <v>133</v>
      </c>
      <c r="E126" s="195" t="s">
        <v>180</v>
      </c>
      <c r="F126" s="198">
        <v>500</v>
      </c>
      <c r="G126" s="32">
        <f>G127</f>
        <v>13931</v>
      </c>
      <c r="H126" s="32">
        <f t="shared" ref="H126:I126" si="54">H127</f>
        <v>13931</v>
      </c>
      <c r="I126" s="32">
        <f t="shared" si="54"/>
        <v>13931</v>
      </c>
      <c r="J126" s="224"/>
      <c r="K126" s="224"/>
      <c r="L126" s="224"/>
      <c r="M126" s="226"/>
      <c r="N126" s="226"/>
      <c r="O126" s="226"/>
      <c r="P126" s="225">
        <f t="shared" si="31"/>
        <v>100</v>
      </c>
    </row>
    <row r="127" spans="1:16" x14ac:dyDescent="0.25">
      <c r="A127" s="198">
        <v>115</v>
      </c>
      <c r="B127" s="208" t="s">
        <v>29</v>
      </c>
      <c r="C127" s="195" t="s">
        <v>164</v>
      </c>
      <c r="D127" s="195" t="s">
        <v>133</v>
      </c>
      <c r="E127" s="195" t="s">
        <v>180</v>
      </c>
      <c r="F127" s="198">
        <v>510</v>
      </c>
      <c r="G127" s="32">
        <v>13931</v>
      </c>
      <c r="H127" s="32">
        <v>13931</v>
      </c>
      <c r="I127" s="32">
        <v>13931</v>
      </c>
      <c r="J127" s="224"/>
      <c r="K127" s="224"/>
      <c r="L127" s="224"/>
      <c r="M127" s="226"/>
      <c r="N127" s="226"/>
      <c r="O127" s="226"/>
      <c r="P127" s="225">
        <f t="shared" si="31"/>
        <v>100</v>
      </c>
    </row>
    <row r="128" spans="1:16" ht="75" x14ac:dyDescent="0.25">
      <c r="A128" s="198">
        <v>116</v>
      </c>
      <c r="B128" s="197" t="s">
        <v>407</v>
      </c>
      <c r="C128" s="195" t="s">
        <v>164</v>
      </c>
      <c r="D128" s="195" t="s">
        <v>133</v>
      </c>
      <c r="E128" s="195" t="s">
        <v>181</v>
      </c>
      <c r="F128" s="198"/>
      <c r="G128" s="32">
        <f>G129</f>
        <v>19091.59</v>
      </c>
      <c r="H128" s="32">
        <f t="shared" ref="H128:I129" si="55">H129</f>
        <v>19091.59</v>
      </c>
      <c r="I128" s="32">
        <f t="shared" si="55"/>
        <v>19091.59</v>
      </c>
      <c r="J128" s="224"/>
      <c r="K128" s="224"/>
      <c r="L128" s="224"/>
      <c r="M128" s="226"/>
      <c r="N128" s="226"/>
      <c r="O128" s="226"/>
      <c r="P128" s="225">
        <f t="shared" si="31"/>
        <v>100</v>
      </c>
    </row>
    <row r="129" spans="1:16" x14ac:dyDescent="0.25">
      <c r="A129" s="198">
        <v>117</v>
      </c>
      <c r="B129" s="208" t="s">
        <v>19</v>
      </c>
      <c r="C129" s="195" t="s">
        <v>164</v>
      </c>
      <c r="D129" s="195" t="s">
        <v>133</v>
      </c>
      <c r="E129" s="195" t="s">
        <v>181</v>
      </c>
      <c r="F129" s="198">
        <v>500</v>
      </c>
      <c r="G129" s="32">
        <f>G130</f>
        <v>19091.59</v>
      </c>
      <c r="H129" s="32">
        <f t="shared" si="55"/>
        <v>19091.59</v>
      </c>
      <c r="I129" s="32">
        <f t="shared" si="55"/>
        <v>19091.59</v>
      </c>
      <c r="J129" s="224"/>
      <c r="K129" s="224"/>
      <c r="L129" s="224"/>
      <c r="M129" s="226"/>
      <c r="N129" s="226"/>
      <c r="O129" s="226"/>
      <c r="P129" s="225">
        <f t="shared" si="31"/>
        <v>100</v>
      </c>
    </row>
    <row r="130" spans="1:16" x14ac:dyDescent="0.25">
      <c r="A130" s="198">
        <v>118</v>
      </c>
      <c r="B130" s="208" t="s">
        <v>29</v>
      </c>
      <c r="C130" s="195" t="s">
        <v>164</v>
      </c>
      <c r="D130" s="195" t="s">
        <v>133</v>
      </c>
      <c r="E130" s="195" t="s">
        <v>181</v>
      </c>
      <c r="F130" s="198">
        <v>510</v>
      </c>
      <c r="G130" s="32">
        <v>19091.59</v>
      </c>
      <c r="H130" s="32">
        <v>19091.59</v>
      </c>
      <c r="I130" s="32">
        <v>19091.59</v>
      </c>
      <c r="J130" s="224"/>
      <c r="K130" s="224"/>
      <c r="L130" s="224"/>
      <c r="M130" s="226"/>
      <c r="N130" s="226"/>
      <c r="O130" s="226"/>
      <c r="P130" s="225">
        <f t="shared" si="31"/>
        <v>100</v>
      </c>
    </row>
    <row r="131" spans="1:16" x14ac:dyDescent="0.25">
      <c r="A131" s="198">
        <v>119</v>
      </c>
      <c r="B131" s="62" t="s">
        <v>236</v>
      </c>
      <c r="C131" s="195" t="s">
        <v>164</v>
      </c>
      <c r="D131" s="195" t="s">
        <v>134</v>
      </c>
      <c r="E131" s="198"/>
      <c r="F131" s="198"/>
      <c r="G131" s="32">
        <f>G132+G142+G138</f>
        <v>69737.070000000007</v>
      </c>
      <c r="H131" s="32">
        <f t="shared" ref="H131:I131" si="56">H132+H142+H138</f>
        <v>69737.070000000007</v>
      </c>
      <c r="I131" s="32">
        <f t="shared" si="56"/>
        <v>67689.959999999992</v>
      </c>
      <c r="J131" s="224"/>
      <c r="K131" s="224"/>
      <c r="L131" s="224"/>
      <c r="M131" s="226"/>
      <c r="N131" s="226"/>
      <c r="O131" s="226"/>
      <c r="P131" s="225">
        <f t="shared" si="31"/>
        <v>97.064531102324764</v>
      </c>
    </row>
    <row r="132" spans="1:16" x14ac:dyDescent="0.25">
      <c r="A132" s="198">
        <v>120</v>
      </c>
      <c r="B132" s="197" t="s">
        <v>339</v>
      </c>
      <c r="C132" s="195" t="s">
        <v>164</v>
      </c>
      <c r="D132" s="195" t="s">
        <v>134</v>
      </c>
      <c r="E132" s="195" t="s">
        <v>173</v>
      </c>
      <c r="F132" s="198"/>
      <c r="G132" s="32">
        <f>G133</f>
        <v>63001.91</v>
      </c>
      <c r="H132" s="32">
        <f t="shared" ref="H132:I132" si="57">H133</f>
        <v>63001.91</v>
      </c>
      <c r="I132" s="32">
        <f t="shared" si="57"/>
        <v>60955.01</v>
      </c>
      <c r="J132" s="224"/>
      <c r="K132" s="224"/>
      <c r="L132" s="224"/>
      <c r="M132" s="226"/>
      <c r="N132" s="226"/>
      <c r="O132" s="226"/>
      <c r="P132" s="225">
        <f t="shared" si="31"/>
        <v>96.751050880838378</v>
      </c>
    </row>
    <row r="133" spans="1:16" ht="30" x14ac:dyDescent="0.25">
      <c r="A133" s="198">
        <v>121</v>
      </c>
      <c r="B133" s="197" t="s">
        <v>28</v>
      </c>
      <c r="C133" s="195" t="s">
        <v>164</v>
      </c>
      <c r="D133" s="195" t="s">
        <v>134</v>
      </c>
      <c r="E133" s="195" t="s">
        <v>179</v>
      </c>
      <c r="F133" s="198"/>
      <c r="G133" s="32">
        <f>G134</f>
        <v>63001.91</v>
      </c>
      <c r="H133" s="32">
        <f t="shared" ref="H133:I133" si="58">H134</f>
        <v>63001.91</v>
      </c>
      <c r="I133" s="32">
        <f t="shared" si="58"/>
        <v>60955.01</v>
      </c>
      <c r="J133" s="224"/>
      <c r="K133" s="224"/>
      <c r="L133" s="224"/>
      <c r="M133" s="226"/>
      <c r="N133" s="226"/>
      <c r="O133" s="226"/>
      <c r="P133" s="225">
        <f t="shared" si="31"/>
        <v>96.751050880838378</v>
      </c>
    </row>
    <row r="134" spans="1:16" ht="75" x14ac:dyDescent="0.25">
      <c r="A134" s="198">
        <v>122</v>
      </c>
      <c r="B134" s="197" t="s">
        <v>464</v>
      </c>
      <c r="C134" s="195" t="s">
        <v>164</v>
      </c>
      <c r="D134" s="195" t="s">
        <v>134</v>
      </c>
      <c r="E134" s="195" t="s">
        <v>182</v>
      </c>
      <c r="F134" s="198"/>
      <c r="G134" s="32">
        <f>G135</f>
        <v>63001.91</v>
      </c>
      <c r="H134" s="32">
        <f t="shared" ref="H134:I134" si="59">H135</f>
        <v>63001.91</v>
      </c>
      <c r="I134" s="32">
        <f t="shared" si="59"/>
        <v>60955.01</v>
      </c>
      <c r="J134" s="224"/>
      <c r="K134" s="224"/>
      <c r="L134" s="224"/>
      <c r="M134" s="226"/>
      <c r="N134" s="226"/>
      <c r="O134" s="226"/>
      <c r="P134" s="225">
        <f t="shared" si="31"/>
        <v>96.751050880838378</v>
      </c>
    </row>
    <row r="135" spans="1:16" x14ac:dyDescent="0.25">
      <c r="A135" s="198">
        <v>123</v>
      </c>
      <c r="B135" s="208" t="s">
        <v>19</v>
      </c>
      <c r="C135" s="195" t="s">
        <v>164</v>
      </c>
      <c r="D135" s="195" t="s">
        <v>134</v>
      </c>
      <c r="E135" s="195" t="s">
        <v>182</v>
      </c>
      <c r="F135" s="198">
        <v>500</v>
      </c>
      <c r="G135" s="32">
        <f>G136</f>
        <v>63001.91</v>
      </c>
      <c r="H135" s="32">
        <f t="shared" ref="H135:I135" si="60">H136</f>
        <v>63001.91</v>
      </c>
      <c r="I135" s="32">
        <f t="shared" si="60"/>
        <v>60955.01</v>
      </c>
      <c r="J135" s="224"/>
      <c r="K135" s="224"/>
      <c r="L135" s="224"/>
      <c r="M135" s="226"/>
      <c r="N135" s="226"/>
      <c r="O135" s="226"/>
      <c r="P135" s="225">
        <f t="shared" si="31"/>
        <v>96.751050880838378</v>
      </c>
    </row>
    <row r="136" spans="1:16" x14ac:dyDescent="0.25">
      <c r="A136" s="198">
        <v>124</v>
      </c>
      <c r="B136" s="208" t="s">
        <v>26</v>
      </c>
      <c r="C136" s="195" t="s">
        <v>164</v>
      </c>
      <c r="D136" s="195" t="s">
        <v>134</v>
      </c>
      <c r="E136" s="195" t="s">
        <v>182</v>
      </c>
      <c r="F136" s="198">
        <v>540</v>
      </c>
      <c r="G136" s="32">
        <v>63001.91</v>
      </c>
      <c r="H136" s="32">
        <v>63001.91</v>
      </c>
      <c r="I136" s="32">
        <v>60955.01</v>
      </c>
      <c r="J136" s="224"/>
      <c r="K136" s="224"/>
      <c r="L136" s="224"/>
      <c r="M136" s="226"/>
      <c r="N136" s="226"/>
      <c r="O136" s="226"/>
      <c r="P136" s="225">
        <f t="shared" si="31"/>
        <v>96.751050880838378</v>
      </c>
    </row>
    <row r="137" spans="1:16" x14ac:dyDescent="0.25">
      <c r="A137" s="198">
        <v>125</v>
      </c>
      <c r="B137" s="197" t="s">
        <v>297</v>
      </c>
      <c r="C137" s="195" t="s">
        <v>164</v>
      </c>
      <c r="D137" s="195" t="s">
        <v>134</v>
      </c>
      <c r="E137" s="195" t="s">
        <v>183</v>
      </c>
      <c r="F137" s="198"/>
      <c r="G137" s="32">
        <f>G138</f>
        <v>971.3</v>
      </c>
      <c r="H137" s="32">
        <f t="shared" ref="H137:I140" si="61">H138</f>
        <v>971.3</v>
      </c>
      <c r="I137" s="32">
        <f t="shared" si="61"/>
        <v>971.09</v>
      </c>
      <c r="J137" s="224"/>
      <c r="K137" s="224"/>
      <c r="L137" s="224"/>
      <c r="M137" s="226"/>
      <c r="N137" s="226"/>
      <c r="O137" s="226"/>
      <c r="P137" s="225">
        <f t="shared" si="31"/>
        <v>99.978379491403274</v>
      </c>
    </row>
    <row r="138" spans="1:16" ht="30" x14ac:dyDescent="0.25">
      <c r="A138" s="198">
        <v>126</v>
      </c>
      <c r="B138" s="199" t="s">
        <v>431</v>
      </c>
      <c r="C138" s="195" t="s">
        <v>164</v>
      </c>
      <c r="D138" s="195" t="s">
        <v>134</v>
      </c>
      <c r="E138" s="195" t="s">
        <v>184</v>
      </c>
      <c r="F138" s="198"/>
      <c r="G138" s="32">
        <f>G139</f>
        <v>971.3</v>
      </c>
      <c r="H138" s="32">
        <f t="shared" si="61"/>
        <v>971.3</v>
      </c>
      <c r="I138" s="32">
        <f t="shared" si="61"/>
        <v>971.09</v>
      </c>
      <c r="J138" s="224"/>
      <c r="K138" s="224"/>
      <c r="L138" s="224"/>
      <c r="M138" s="226"/>
      <c r="N138" s="226"/>
      <c r="O138" s="226"/>
      <c r="P138" s="225">
        <f t="shared" si="31"/>
        <v>99.978379491403274</v>
      </c>
    </row>
    <row r="139" spans="1:16" ht="45" x14ac:dyDescent="0.25">
      <c r="A139" s="198">
        <v>127</v>
      </c>
      <c r="B139" s="236" t="s">
        <v>546</v>
      </c>
      <c r="C139" s="195" t="s">
        <v>164</v>
      </c>
      <c r="D139" s="195" t="s">
        <v>134</v>
      </c>
      <c r="E139" s="195" t="s">
        <v>540</v>
      </c>
      <c r="F139" s="198"/>
      <c r="G139" s="32">
        <f>G140</f>
        <v>971.3</v>
      </c>
      <c r="H139" s="32">
        <f t="shared" si="61"/>
        <v>971.3</v>
      </c>
      <c r="I139" s="32">
        <f t="shared" si="61"/>
        <v>971.09</v>
      </c>
      <c r="J139" s="224"/>
      <c r="K139" s="224"/>
      <c r="L139" s="224"/>
      <c r="M139" s="226"/>
      <c r="N139" s="226"/>
      <c r="O139" s="226"/>
      <c r="P139" s="225">
        <f t="shared" si="31"/>
        <v>99.978379491403274</v>
      </c>
    </row>
    <row r="140" spans="1:16" x14ac:dyDescent="0.25">
      <c r="A140" s="198">
        <v>128</v>
      </c>
      <c r="B140" s="208" t="s">
        <v>19</v>
      </c>
      <c r="C140" s="195" t="s">
        <v>164</v>
      </c>
      <c r="D140" s="195" t="s">
        <v>134</v>
      </c>
      <c r="E140" s="195" t="s">
        <v>540</v>
      </c>
      <c r="F140" s="198">
        <v>500</v>
      </c>
      <c r="G140" s="32">
        <f>G141</f>
        <v>971.3</v>
      </c>
      <c r="H140" s="32">
        <f t="shared" si="61"/>
        <v>971.3</v>
      </c>
      <c r="I140" s="32">
        <f t="shared" si="61"/>
        <v>971.09</v>
      </c>
      <c r="J140" s="224"/>
      <c r="K140" s="224"/>
      <c r="L140" s="224"/>
      <c r="M140" s="226"/>
      <c r="N140" s="226"/>
      <c r="O140" s="226"/>
      <c r="P140" s="225">
        <f t="shared" si="31"/>
        <v>99.978379491403274</v>
      </c>
    </row>
    <row r="141" spans="1:16" x14ac:dyDescent="0.25">
      <c r="A141" s="198">
        <v>129</v>
      </c>
      <c r="B141" s="208" t="s">
        <v>26</v>
      </c>
      <c r="C141" s="195" t="s">
        <v>164</v>
      </c>
      <c r="D141" s="195" t="s">
        <v>134</v>
      </c>
      <c r="E141" s="195" t="s">
        <v>540</v>
      </c>
      <c r="F141" s="198">
        <v>540</v>
      </c>
      <c r="G141" s="32">
        <v>971.3</v>
      </c>
      <c r="H141" s="32">
        <v>971.3</v>
      </c>
      <c r="I141" s="32">
        <v>971.09</v>
      </c>
      <c r="J141" s="224">
        <v>971.3</v>
      </c>
      <c r="K141" s="224"/>
      <c r="L141" s="224"/>
      <c r="M141" s="226"/>
      <c r="N141" s="226"/>
      <c r="O141" s="226"/>
      <c r="P141" s="225">
        <f t="shared" si="31"/>
        <v>99.978379491403274</v>
      </c>
    </row>
    <row r="142" spans="1:16" x14ac:dyDescent="0.25">
      <c r="A142" s="198">
        <v>130</v>
      </c>
      <c r="B142" s="199" t="s">
        <v>24</v>
      </c>
      <c r="C142" s="195" t="s">
        <v>164</v>
      </c>
      <c r="D142" s="195" t="s">
        <v>134</v>
      </c>
      <c r="E142" s="195" t="s">
        <v>426</v>
      </c>
      <c r="F142" s="198"/>
      <c r="G142" s="32">
        <f>G143</f>
        <v>5763.86</v>
      </c>
      <c r="H142" s="32">
        <f t="shared" ref="H142:I151" si="62">H143</f>
        <v>5763.86</v>
      </c>
      <c r="I142" s="32">
        <f t="shared" si="62"/>
        <v>5763.86</v>
      </c>
      <c r="J142" s="224"/>
      <c r="K142" s="224"/>
      <c r="L142" s="224"/>
      <c r="M142" s="226"/>
      <c r="N142" s="226"/>
      <c r="O142" s="226"/>
      <c r="P142" s="225">
        <f t="shared" ref="P142:P205" si="63">I142/H142*100</f>
        <v>100</v>
      </c>
    </row>
    <row r="143" spans="1:16" x14ac:dyDescent="0.25">
      <c r="A143" s="198">
        <v>131</v>
      </c>
      <c r="B143" s="199" t="s">
        <v>270</v>
      </c>
      <c r="C143" s="195" t="s">
        <v>164</v>
      </c>
      <c r="D143" s="195" t="s">
        <v>134</v>
      </c>
      <c r="E143" s="195" t="s">
        <v>427</v>
      </c>
      <c r="F143" s="198"/>
      <c r="G143" s="32">
        <f>G150+G147+G144</f>
        <v>5763.86</v>
      </c>
      <c r="H143" s="32">
        <f t="shared" ref="H143:I143" si="64">H150+H147+H144</f>
        <v>5763.86</v>
      </c>
      <c r="I143" s="32">
        <f t="shared" si="64"/>
        <v>5763.86</v>
      </c>
      <c r="J143" s="224"/>
      <c r="K143" s="224"/>
      <c r="L143" s="224"/>
      <c r="M143" s="226"/>
      <c r="N143" s="226"/>
      <c r="O143" s="226"/>
      <c r="P143" s="225">
        <f t="shared" si="63"/>
        <v>100</v>
      </c>
    </row>
    <row r="144" spans="1:16" ht="45" x14ac:dyDescent="0.25">
      <c r="A144" s="198">
        <v>132</v>
      </c>
      <c r="B144" s="199" t="s">
        <v>559</v>
      </c>
      <c r="C144" s="195" t="s">
        <v>164</v>
      </c>
      <c r="D144" s="195" t="s">
        <v>134</v>
      </c>
      <c r="E144" s="195" t="s">
        <v>560</v>
      </c>
      <c r="F144" s="198"/>
      <c r="G144" s="32">
        <f>G145</f>
        <v>321.27999999999997</v>
      </c>
      <c r="H144" s="32">
        <f t="shared" ref="H144:I145" si="65">H145</f>
        <v>321.27999999999997</v>
      </c>
      <c r="I144" s="32">
        <f t="shared" si="65"/>
        <v>321.27999999999997</v>
      </c>
      <c r="J144" s="224"/>
      <c r="K144" s="224"/>
      <c r="L144" s="224"/>
      <c r="M144" s="226"/>
      <c r="N144" s="226"/>
      <c r="O144" s="226"/>
      <c r="P144" s="225">
        <f t="shared" si="63"/>
        <v>100</v>
      </c>
    </row>
    <row r="145" spans="1:16" x14ac:dyDescent="0.25">
      <c r="A145" s="198">
        <v>133</v>
      </c>
      <c r="B145" s="208" t="s">
        <v>19</v>
      </c>
      <c r="C145" s="195" t="s">
        <v>164</v>
      </c>
      <c r="D145" s="195" t="s">
        <v>134</v>
      </c>
      <c r="E145" s="195" t="s">
        <v>560</v>
      </c>
      <c r="F145" s="198">
        <v>500</v>
      </c>
      <c r="G145" s="32">
        <f>G146</f>
        <v>321.27999999999997</v>
      </c>
      <c r="H145" s="32">
        <f t="shared" si="65"/>
        <v>321.27999999999997</v>
      </c>
      <c r="I145" s="32">
        <f>I146</f>
        <v>321.27999999999997</v>
      </c>
      <c r="J145" s="224"/>
      <c r="K145" s="224"/>
      <c r="L145" s="224"/>
      <c r="M145" s="226"/>
      <c r="N145" s="226"/>
      <c r="O145" s="226"/>
      <c r="P145" s="225">
        <f t="shared" si="63"/>
        <v>100</v>
      </c>
    </row>
    <row r="146" spans="1:16" x14ac:dyDescent="0.25">
      <c r="A146" s="198">
        <v>134</v>
      </c>
      <c r="B146" s="203" t="s">
        <v>406</v>
      </c>
      <c r="C146" s="195" t="s">
        <v>164</v>
      </c>
      <c r="D146" s="195" t="s">
        <v>134</v>
      </c>
      <c r="E146" s="195" t="s">
        <v>560</v>
      </c>
      <c r="F146" s="198">
        <v>520</v>
      </c>
      <c r="G146" s="32">
        <v>321.27999999999997</v>
      </c>
      <c r="H146" s="32">
        <v>321.27999999999997</v>
      </c>
      <c r="I146" s="32">
        <v>321.27999999999997</v>
      </c>
      <c r="J146" s="224"/>
      <c r="K146" s="224"/>
      <c r="L146" s="224"/>
      <c r="M146" s="226"/>
      <c r="N146" s="226"/>
      <c r="O146" s="226"/>
      <c r="P146" s="225">
        <f t="shared" si="63"/>
        <v>100</v>
      </c>
    </row>
    <row r="147" spans="1:16" ht="45" x14ac:dyDescent="0.25">
      <c r="A147" s="198">
        <v>135</v>
      </c>
      <c r="B147" s="199" t="s">
        <v>518</v>
      </c>
      <c r="C147" s="195" t="s">
        <v>164</v>
      </c>
      <c r="D147" s="195" t="s">
        <v>134</v>
      </c>
      <c r="E147" s="195" t="s">
        <v>519</v>
      </c>
      <c r="F147" s="198"/>
      <c r="G147" s="32">
        <f>G148</f>
        <v>3645.74</v>
      </c>
      <c r="H147" s="32">
        <f t="shared" ref="H147:I148" si="66">H148</f>
        <v>3645.74</v>
      </c>
      <c r="I147" s="32">
        <f t="shared" si="66"/>
        <v>3645.74</v>
      </c>
      <c r="J147" s="224"/>
      <c r="K147" s="224"/>
      <c r="L147" s="224"/>
      <c r="M147" s="226"/>
      <c r="N147" s="226"/>
      <c r="O147" s="226"/>
      <c r="P147" s="225">
        <f t="shared" si="63"/>
        <v>100</v>
      </c>
    </row>
    <row r="148" spans="1:16" x14ac:dyDescent="0.25">
      <c r="A148" s="198">
        <v>136</v>
      </c>
      <c r="B148" s="208" t="s">
        <v>19</v>
      </c>
      <c r="C148" s="195" t="s">
        <v>164</v>
      </c>
      <c r="D148" s="195" t="s">
        <v>134</v>
      </c>
      <c r="E148" s="195" t="s">
        <v>519</v>
      </c>
      <c r="F148" s="198">
        <v>500</v>
      </c>
      <c r="G148" s="32">
        <f>G149</f>
        <v>3645.74</v>
      </c>
      <c r="H148" s="32">
        <f t="shared" si="66"/>
        <v>3645.74</v>
      </c>
      <c r="I148" s="32">
        <f t="shared" si="66"/>
        <v>3645.74</v>
      </c>
      <c r="J148" s="224"/>
      <c r="K148" s="224"/>
      <c r="L148" s="224"/>
      <c r="M148" s="226"/>
      <c r="N148" s="226"/>
      <c r="O148" s="226"/>
      <c r="P148" s="225">
        <f t="shared" si="63"/>
        <v>100</v>
      </c>
    </row>
    <row r="149" spans="1:16" x14ac:dyDescent="0.25">
      <c r="A149" s="198">
        <v>137</v>
      </c>
      <c r="B149" s="203" t="s">
        <v>406</v>
      </c>
      <c r="C149" s="195" t="s">
        <v>164</v>
      </c>
      <c r="D149" s="195" t="s">
        <v>134</v>
      </c>
      <c r="E149" s="195" t="s">
        <v>519</v>
      </c>
      <c r="F149" s="198">
        <v>520</v>
      </c>
      <c r="G149" s="32">
        <v>3645.74</v>
      </c>
      <c r="H149" s="32">
        <v>3645.74</v>
      </c>
      <c r="I149" s="32">
        <v>3645.74</v>
      </c>
      <c r="J149" s="224">
        <v>3645.74</v>
      </c>
      <c r="K149" s="224"/>
      <c r="L149" s="224"/>
      <c r="M149" s="226"/>
      <c r="N149" s="226"/>
      <c r="O149" s="226"/>
      <c r="P149" s="225">
        <f t="shared" si="63"/>
        <v>100</v>
      </c>
    </row>
    <row r="150" spans="1:16" ht="45" x14ac:dyDescent="0.25">
      <c r="A150" s="198">
        <v>138</v>
      </c>
      <c r="B150" s="203" t="s">
        <v>398</v>
      </c>
      <c r="C150" s="195" t="s">
        <v>164</v>
      </c>
      <c r="D150" s="195" t="s">
        <v>134</v>
      </c>
      <c r="E150" s="195" t="s">
        <v>428</v>
      </c>
      <c r="F150" s="198"/>
      <c r="G150" s="32">
        <f>G151</f>
        <v>1796.8400000000001</v>
      </c>
      <c r="H150" s="32">
        <f t="shared" si="62"/>
        <v>1796.84</v>
      </c>
      <c r="I150" s="32">
        <f t="shared" si="62"/>
        <v>1796.84</v>
      </c>
      <c r="J150" s="224"/>
      <c r="K150" s="224"/>
      <c r="L150" s="224"/>
      <c r="M150" s="226"/>
      <c r="N150" s="226"/>
      <c r="O150" s="226"/>
      <c r="P150" s="225">
        <f t="shared" si="63"/>
        <v>100</v>
      </c>
    </row>
    <row r="151" spans="1:16" x14ac:dyDescent="0.25">
      <c r="A151" s="198">
        <v>139</v>
      </c>
      <c r="B151" s="208" t="s">
        <v>19</v>
      </c>
      <c r="C151" s="195" t="s">
        <v>164</v>
      </c>
      <c r="D151" s="195" t="s">
        <v>134</v>
      </c>
      <c r="E151" s="195" t="s">
        <v>428</v>
      </c>
      <c r="F151" s="198">
        <v>500</v>
      </c>
      <c r="G151" s="32">
        <f>G152</f>
        <v>1796.8400000000001</v>
      </c>
      <c r="H151" s="32">
        <f t="shared" si="62"/>
        <v>1796.84</v>
      </c>
      <c r="I151" s="32">
        <f t="shared" si="62"/>
        <v>1796.84</v>
      </c>
      <c r="J151" s="224"/>
      <c r="K151" s="224"/>
      <c r="L151" s="224"/>
      <c r="M151" s="226"/>
      <c r="N151" s="226"/>
      <c r="O151" s="226"/>
      <c r="P151" s="225">
        <f t="shared" si="63"/>
        <v>100</v>
      </c>
    </row>
    <row r="152" spans="1:16" x14ac:dyDescent="0.25">
      <c r="A152" s="198">
        <v>140</v>
      </c>
      <c r="B152" s="208" t="s">
        <v>26</v>
      </c>
      <c r="C152" s="195" t="s">
        <v>164</v>
      </c>
      <c r="D152" s="195" t="s">
        <v>134</v>
      </c>
      <c r="E152" s="195" t="s">
        <v>428</v>
      </c>
      <c r="F152" s="198">
        <v>540</v>
      </c>
      <c r="G152" s="32">
        <f>1255+541.84</f>
        <v>1796.8400000000001</v>
      </c>
      <c r="H152" s="32">
        <v>1796.84</v>
      </c>
      <c r="I152" s="32">
        <v>1796.84</v>
      </c>
      <c r="J152" s="224"/>
      <c r="K152" s="224"/>
      <c r="L152" s="224"/>
      <c r="M152" s="226"/>
      <c r="N152" s="226"/>
      <c r="O152" s="226"/>
      <c r="P152" s="225">
        <f t="shared" si="63"/>
        <v>100</v>
      </c>
    </row>
    <row r="153" spans="1:16" ht="24.75" customHeight="1" x14ac:dyDescent="0.25">
      <c r="A153" s="198">
        <v>141</v>
      </c>
      <c r="B153" s="237" t="s">
        <v>237</v>
      </c>
      <c r="C153" s="49" t="s">
        <v>158</v>
      </c>
      <c r="D153" s="48"/>
      <c r="E153" s="48"/>
      <c r="F153" s="48"/>
      <c r="G153" s="51">
        <f>G154+G253+G313+G332+G347+G323+G243</f>
        <v>249449.12672</v>
      </c>
      <c r="H153" s="51">
        <f>H154+H253+H313+H332+H347+H323+H243</f>
        <v>250051.47000000003</v>
      </c>
      <c r="I153" s="51">
        <f>I154+I253+I313+I332+I347+I323+I243</f>
        <v>232048.21799999999</v>
      </c>
      <c r="J153" s="224"/>
      <c r="K153" s="224"/>
      <c r="L153" s="224"/>
      <c r="M153" s="226"/>
      <c r="N153" s="226"/>
      <c r="O153" s="226"/>
      <c r="P153" s="225">
        <f t="shared" si="63"/>
        <v>92.800181498633052</v>
      </c>
    </row>
    <row r="154" spans="1:16" x14ac:dyDescent="0.25">
      <c r="A154" s="198">
        <v>142</v>
      </c>
      <c r="B154" s="62" t="s">
        <v>87</v>
      </c>
      <c r="C154" s="195" t="s">
        <v>158</v>
      </c>
      <c r="D154" s="195" t="s">
        <v>88</v>
      </c>
      <c r="E154" s="198"/>
      <c r="F154" s="198"/>
      <c r="G154" s="32">
        <f>G155+G167+G189+G201+G207+G195</f>
        <v>46702.149999999994</v>
      </c>
      <c r="H154" s="32">
        <f>H155+H167+H189+H201+H207+H195</f>
        <v>46702.15</v>
      </c>
      <c r="I154" s="32">
        <f>I155+I167+I189+I201+I207+I195</f>
        <v>42161.323999999993</v>
      </c>
      <c r="J154" s="224"/>
      <c r="K154" s="224"/>
      <c r="L154" s="224"/>
      <c r="M154" s="226"/>
      <c r="N154" s="226"/>
      <c r="O154" s="226"/>
      <c r="P154" s="225">
        <f t="shared" si="63"/>
        <v>90.277051484781737</v>
      </c>
    </row>
    <row r="155" spans="1:16" ht="30" x14ac:dyDescent="0.25">
      <c r="A155" s="198">
        <v>143</v>
      </c>
      <c r="B155" s="208" t="s">
        <v>89</v>
      </c>
      <c r="C155" s="195" t="s">
        <v>158</v>
      </c>
      <c r="D155" s="195" t="s">
        <v>90</v>
      </c>
      <c r="E155" s="198"/>
      <c r="F155" s="198"/>
      <c r="G155" s="32">
        <f>G156</f>
        <v>1944.06</v>
      </c>
      <c r="H155" s="32">
        <f t="shared" ref="H155:I155" si="67">H156</f>
        <v>1944.06</v>
      </c>
      <c r="I155" s="32">
        <f t="shared" si="67"/>
        <v>1873.45</v>
      </c>
      <c r="J155" s="224"/>
      <c r="K155" s="224"/>
      <c r="L155" s="224"/>
      <c r="M155" s="226"/>
      <c r="N155" s="226"/>
      <c r="O155" s="226"/>
      <c r="P155" s="225">
        <f t="shared" si="63"/>
        <v>96.367910455438619</v>
      </c>
    </row>
    <row r="156" spans="1:16" x14ac:dyDescent="0.25">
      <c r="A156" s="198">
        <v>144</v>
      </c>
      <c r="B156" s="203" t="s">
        <v>264</v>
      </c>
      <c r="C156" s="195" t="s">
        <v>158</v>
      </c>
      <c r="D156" s="195" t="s">
        <v>90</v>
      </c>
      <c r="E156" s="198">
        <v>8500000000</v>
      </c>
      <c r="F156" s="198"/>
      <c r="G156" s="32">
        <f>G157</f>
        <v>1944.06</v>
      </c>
      <c r="H156" s="32">
        <f t="shared" ref="H156:I156" si="68">H157</f>
        <v>1944.06</v>
      </c>
      <c r="I156" s="32">
        <f t="shared" si="68"/>
        <v>1873.45</v>
      </c>
      <c r="J156" s="224"/>
      <c r="K156" s="224"/>
      <c r="L156" s="224"/>
      <c r="M156" s="226"/>
      <c r="N156" s="226"/>
      <c r="O156" s="226"/>
      <c r="P156" s="225">
        <f t="shared" si="63"/>
        <v>96.367910455438619</v>
      </c>
    </row>
    <row r="157" spans="1:16" x14ac:dyDescent="0.25">
      <c r="A157" s="198">
        <v>145</v>
      </c>
      <c r="B157" s="203" t="s">
        <v>265</v>
      </c>
      <c r="C157" s="195" t="s">
        <v>158</v>
      </c>
      <c r="D157" s="195" t="s">
        <v>90</v>
      </c>
      <c r="E157" s="198">
        <v>8510000000</v>
      </c>
      <c r="F157" s="198"/>
      <c r="G157" s="32">
        <f>G158+G164+G161</f>
        <v>1944.06</v>
      </c>
      <c r="H157" s="32">
        <f t="shared" ref="H157" si="69">H158+H164+H161</f>
        <v>1944.06</v>
      </c>
      <c r="I157" s="32">
        <f t="shared" ref="I157" si="70">I158+I164+I161</f>
        <v>1873.45</v>
      </c>
      <c r="J157" s="224"/>
      <c r="K157" s="224"/>
      <c r="L157" s="224"/>
      <c r="M157" s="226"/>
      <c r="N157" s="226"/>
      <c r="O157" s="226"/>
      <c r="P157" s="225">
        <f t="shared" si="63"/>
        <v>96.367910455438619</v>
      </c>
    </row>
    <row r="158" spans="1:16" ht="30" x14ac:dyDescent="0.25">
      <c r="A158" s="198">
        <v>146</v>
      </c>
      <c r="B158" s="199" t="s">
        <v>266</v>
      </c>
      <c r="C158" s="195" t="s">
        <v>158</v>
      </c>
      <c r="D158" s="195" t="s">
        <v>90</v>
      </c>
      <c r="E158" s="198">
        <v>8510000210</v>
      </c>
      <c r="F158" s="198"/>
      <c r="G158" s="32">
        <f>G159</f>
        <v>1727.01</v>
      </c>
      <c r="H158" s="32">
        <f t="shared" ref="H158:I158" si="71">H159</f>
        <v>1727.01</v>
      </c>
      <c r="I158" s="32">
        <f t="shared" si="71"/>
        <v>1656.4</v>
      </c>
      <c r="J158" s="224"/>
      <c r="K158" s="224"/>
      <c r="L158" s="224"/>
      <c r="M158" s="226"/>
      <c r="N158" s="226"/>
      <c r="O158" s="226"/>
      <c r="P158" s="225">
        <f t="shared" si="63"/>
        <v>95.91143073867552</v>
      </c>
    </row>
    <row r="159" spans="1:16" ht="45" x14ac:dyDescent="0.25">
      <c r="A159" s="198">
        <v>147</v>
      </c>
      <c r="B159" s="199" t="s">
        <v>149</v>
      </c>
      <c r="C159" s="195" t="s">
        <v>158</v>
      </c>
      <c r="D159" s="195" t="s">
        <v>90</v>
      </c>
      <c r="E159" s="198">
        <v>8510000210</v>
      </c>
      <c r="F159" s="198">
        <v>100</v>
      </c>
      <c r="G159" s="32">
        <f>G160</f>
        <v>1727.01</v>
      </c>
      <c r="H159" s="32">
        <f>H160</f>
        <v>1727.01</v>
      </c>
      <c r="I159" s="32">
        <f>I160</f>
        <v>1656.4</v>
      </c>
      <c r="J159" s="224"/>
      <c r="K159" s="224"/>
      <c r="L159" s="224"/>
      <c r="M159" s="226"/>
      <c r="N159" s="226"/>
      <c r="O159" s="226"/>
      <c r="P159" s="225">
        <f t="shared" si="63"/>
        <v>95.91143073867552</v>
      </c>
    </row>
    <row r="160" spans="1:16" x14ac:dyDescent="0.25">
      <c r="A160" s="198">
        <v>148</v>
      </c>
      <c r="B160" s="200" t="s">
        <v>17</v>
      </c>
      <c r="C160" s="195" t="s">
        <v>158</v>
      </c>
      <c r="D160" s="195" t="s">
        <v>90</v>
      </c>
      <c r="E160" s="198">
        <v>8510000210</v>
      </c>
      <c r="F160" s="198">
        <v>120</v>
      </c>
      <c r="G160" s="32">
        <v>1727.01</v>
      </c>
      <c r="H160" s="32">
        <v>1727.01</v>
      </c>
      <c r="I160" s="32">
        <v>1656.4</v>
      </c>
      <c r="J160" s="224"/>
      <c r="K160" s="224"/>
      <c r="L160" s="224"/>
      <c r="M160" s="226"/>
      <c r="N160" s="226"/>
      <c r="O160" s="226"/>
      <c r="P160" s="225">
        <f t="shared" si="63"/>
        <v>95.91143073867552</v>
      </c>
    </row>
    <row r="161" spans="1:16" ht="30" x14ac:dyDescent="0.25">
      <c r="A161" s="198">
        <v>149</v>
      </c>
      <c r="B161" s="208" t="s">
        <v>557</v>
      </c>
      <c r="C161" s="195" t="s">
        <v>158</v>
      </c>
      <c r="D161" s="195" t="s">
        <v>90</v>
      </c>
      <c r="E161" s="198">
        <v>8510010350</v>
      </c>
      <c r="F161" s="198"/>
      <c r="G161" s="32">
        <f>G162</f>
        <v>15.54</v>
      </c>
      <c r="H161" s="32">
        <f t="shared" ref="H161:I162" si="72">H162</f>
        <v>15.54</v>
      </c>
      <c r="I161" s="32">
        <f t="shared" si="72"/>
        <v>15.54</v>
      </c>
      <c r="J161" s="224"/>
      <c r="K161" s="224"/>
      <c r="L161" s="224"/>
      <c r="M161" s="226"/>
      <c r="N161" s="226"/>
      <c r="O161" s="226"/>
      <c r="P161" s="225">
        <f t="shared" si="63"/>
        <v>100</v>
      </c>
    </row>
    <row r="162" spans="1:16" ht="45" x14ac:dyDescent="0.25">
      <c r="A162" s="198">
        <v>150</v>
      </c>
      <c r="B162" s="208" t="s">
        <v>16</v>
      </c>
      <c r="C162" s="195" t="s">
        <v>158</v>
      </c>
      <c r="D162" s="195" t="s">
        <v>90</v>
      </c>
      <c r="E162" s="198">
        <v>8510010350</v>
      </c>
      <c r="F162" s="198">
        <v>100</v>
      </c>
      <c r="G162" s="32">
        <f>G163</f>
        <v>15.54</v>
      </c>
      <c r="H162" s="32">
        <f t="shared" si="72"/>
        <v>15.54</v>
      </c>
      <c r="I162" s="32">
        <f t="shared" si="72"/>
        <v>15.54</v>
      </c>
      <c r="J162" s="224"/>
      <c r="K162" s="224"/>
      <c r="L162" s="224"/>
      <c r="M162" s="226"/>
      <c r="N162" s="226"/>
      <c r="O162" s="226"/>
      <c r="P162" s="225">
        <f t="shared" si="63"/>
        <v>100</v>
      </c>
    </row>
    <row r="163" spans="1:16" x14ac:dyDescent="0.25">
      <c r="A163" s="198">
        <v>151</v>
      </c>
      <c r="B163" s="208" t="s">
        <v>17</v>
      </c>
      <c r="C163" s="195" t="s">
        <v>158</v>
      </c>
      <c r="D163" s="195" t="s">
        <v>90</v>
      </c>
      <c r="E163" s="198">
        <v>8510010350</v>
      </c>
      <c r="F163" s="198">
        <v>120</v>
      </c>
      <c r="G163" s="32">
        <v>15.54</v>
      </c>
      <c r="H163" s="32">
        <v>15.54</v>
      </c>
      <c r="I163" s="32">
        <v>15.54</v>
      </c>
      <c r="J163" s="224"/>
      <c r="K163" s="224"/>
      <c r="L163" s="224"/>
      <c r="M163" s="226"/>
      <c r="N163" s="226"/>
      <c r="O163" s="226"/>
      <c r="P163" s="225">
        <f t="shared" si="63"/>
        <v>100</v>
      </c>
    </row>
    <row r="164" spans="1:16" ht="30" x14ac:dyDescent="0.25">
      <c r="A164" s="198">
        <v>152</v>
      </c>
      <c r="B164" s="208" t="s">
        <v>491</v>
      </c>
      <c r="C164" s="195" t="s">
        <v>158</v>
      </c>
      <c r="D164" s="195" t="s">
        <v>90</v>
      </c>
      <c r="E164" s="198">
        <v>8510010360</v>
      </c>
      <c r="F164" s="198"/>
      <c r="G164" s="32">
        <f>G165</f>
        <v>201.51</v>
      </c>
      <c r="H164" s="32">
        <f t="shared" ref="H164:I165" si="73">H165</f>
        <v>201.51</v>
      </c>
      <c r="I164" s="32">
        <f t="shared" si="73"/>
        <v>201.51</v>
      </c>
      <c r="J164" s="224"/>
      <c r="K164" s="224"/>
      <c r="L164" s="224"/>
      <c r="M164" s="226"/>
      <c r="N164" s="226"/>
      <c r="O164" s="226"/>
      <c r="P164" s="225">
        <f t="shared" si="63"/>
        <v>100</v>
      </c>
    </row>
    <row r="165" spans="1:16" ht="45" x14ac:dyDescent="0.25">
      <c r="A165" s="198">
        <v>153</v>
      </c>
      <c r="B165" s="208" t="s">
        <v>16</v>
      </c>
      <c r="C165" s="195" t="s">
        <v>158</v>
      </c>
      <c r="D165" s="195" t="s">
        <v>90</v>
      </c>
      <c r="E165" s="198">
        <v>8510010360</v>
      </c>
      <c r="F165" s="198">
        <v>100</v>
      </c>
      <c r="G165" s="32">
        <f>G166</f>
        <v>201.51</v>
      </c>
      <c r="H165" s="32">
        <f t="shared" si="73"/>
        <v>201.51</v>
      </c>
      <c r="I165" s="32">
        <f t="shared" si="73"/>
        <v>201.51</v>
      </c>
      <c r="J165" s="224"/>
      <c r="K165" s="224"/>
      <c r="L165" s="224"/>
      <c r="M165" s="226"/>
      <c r="N165" s="226"/>
      <c r="O165" s="226"/>
      <c r="P165" s="225">
        <f t="shared" si="63"/>
        <v>100</v>
      </c>
    </row>
    <row r="166" spans="1:16" x14ac:dyDescent="0.25">
      <c r="A166" s="198">
        <v>154</v>
      </c>
      <c r="B166" s="208" t="s">
        <v>17</v>
      </c>
      <c r="C166" s="195" t="s">
        <v>158</v>
      </c>
      <c r="D166" s="195" t="s">
        <v>90</v>
      </c>
      <c r="E166" s="198">
        <v>8510010360</v>
      </c>
      <c r="F166" s="198">
        <v>120</v>
      </c>
      <c r="G166" s="32">
        <v>201.51</v>
      </c>
      <c r="H166" s="32">
        <v>201.51</v>
      </c>
      <c r="I166" s="32">
        <v>201.51</v>
      </c>
      <c r="J166" s="224">
        <v>201.51</v>
      </c>
      <c r="K166" s="224"/>
      <c r="L166" s="224"/>
      <c r="M166" s="226"/>
      <c r="N166" s="226"/>
      <c r="O166" s="226"/>
      <c r="P166" s="225">
        <f t="shared" si="63"/>
        <v>100</v>
      </c>
    </row>
    <row r="167" spans="1:16" ht="30" x14ac:dyDescent="0.25">
      <c r="A167" s="198">
        <v>155</v>
      </c>
      <c r="B167" s="208" t="s">
        <v>18</v>
      </c>
      <c r="C167" s="195" t="s">
        <v>158</v>
      </c>
      <c r="D167" s="195" t="s">
        <v>93</v>
      </c>
      <c r="E167" s="198"/>
      <c r="F167" s="198"/>
      <c r="G167" s="32">
        <f>G168</f>
        <v>29222.149999999994</v>
      </c>
      <c r="H167" s="32">
        <f t="shared" ref="H167:I168" si="74">H168</f>
        <v>29222.15</v>
      </c>
      <c r="I167" s="32">
        <f t="shared" si="74"/>
        <v>28768.883999999998</v>
      </c>
      <c r="J167" s="224"/>
      <c r="K167" s="224"/>
      <c r="L167" s="224"/>
      <c r="M167" s="226"/>
      <c r="N167" s="226"/>
      <c r="O167" s="226"/>
      <c r="P167" s="225">
        <f t="shared" si="63"/>
        <v>98.448895786244321</v>
      </c>
    </row>
    <row r="168" spans="1:16" x14ac:dyDescent="0.25">
      <c r="A168" s="198">
        <v>156</v>
      </c>
      <c r="B168" s="203" t="s">
        <v>264</v>
      </c>
      <c r="C168" s="195" t="s">
        <v>158</v>
      </c>
      <c r="D168" s="195" t="s">
        <v>93</v>
      </c>
      <c r="E168" s="195" t="s">
        <v>267</v>
      </c>
      <c r="F168" s="198"/>
      <c r="G168" s="32">
        <f>G169</f>
        <v>29222.149999999994</v>
      </c>
      <c r="H168" s="32">
        <f t="shared" si="74"/>
        <v>29222.15</v>
      </c>
      <c r="I168" s="32">
        <f t="shared" si="74"/>
        <v>28768.883999999998</v>
      </c>
      <c r="J168" s="224"/>
      <c r="K168" s="224"/>
      <c r="L168" s="224"/>
      <c r="M168" s="226"/>
      <c r="N168" s="226"/>
      <c r="O168" s="226"/>
      <c r="P168" s="225">
        <f t="shared" si="63"/>
        <v>98.448895786244321</v>
      </c>
    </row>
    <row r="169" spans="1:16" x14ac:dyDescent="0.25">
      <c r="A169" s="198">
        <v>157</v>
      </c>
      <c r="B169" s="203" t="s">
        <v>265</v>
      </c>
      <c r="C169" s="195" t="s">
        <v>158</v>
      </c>
      <c r="D169" s="195" t="s">
        <v>93</v>
      </c>
      <c r="E169" s="195" t="s">
        <v>268</v>
      </c>
      <c r="F169" s="198"/>
      <c r="G169" s="32">
        <f>G170+G177+G186+G183+G180</f>
        <v>29222.149999999994</v>
      </c>
      <c r="H169" s="32">
        <f t="shared" ref="H169:I169" si="75">H170+H177+H186+H183+H180</f>
        <v>29222.15</v>
      </c>
      <c r="I169" s="32">
        <f t="shared" si="75"/>
        <v>28768.883999999998</v>
      </c>
      <c r="J169" s="224"/>
      <c r="K169" s="224"/>
      <c r="L169" s="224"/>
      <c r="M169" s="226"/>
      <c r="N169" s="226"/>
      <c r="O169" s="226"/>
      <c r="P169" s="225">
        <f t="shared" si="63"/>
        <v>98.448895786244321</v>
      </c>
    </row>
    <row r="170" spans="1:16" ht="45" x14ac:dyDescent="0.25">
      <c r="A170" s="198">
        <v>158</v>
      </c>
      <c r="B170" s="199" t="s">
        <v>414</v>
      </c>
      <c r="C170" s="195" t="s">
        <v>158</v>
      </c>
      <c r="D170" s="195" t="s">
        <v>93</v>
      </c>
      <c r="E170" s="195" t="s">
        <v>269</v>
      </c>
      <c r="F170" s="198"/>
      <c r="G170" s="32">
        <f>G171+G173+G175</f>
        <v>23869.689999999995</v>
      </c>
      <c r="H170" s="32">
        <f t="shared" ref="H170:I170" si="76">H171+H173+H175</f>
        <v>23869.690000000002</v>
      </c>
      <c r="I170" s="32">
        <f t="shared" si="76"/>
        <v>23467.653999999999</v>
      </c>
      <c r="J170" s="224"/>
      <c r="K170" s="224"/>
      <c r="L170" s="224"/>
      <c r="M170" s="226"/>
      <c r="N170" s="226"/>
      <c r="O170" s="226"/>
      <c r="P170" s="225">
        <f t="shared" si="63"/>
        <v>98.315704979830059</v>
      </c>
    </row>
    <row r="171" spans="1:16" ht="45" x14ac:dyDescent="0.25">
      <c r="A171" s="198">
        <v>159</v>
      </c>
      <c r="B171" s="208" t="s">
        <v>16</v>
      </c>
      <c r="C171" s="195" t="s">
        <v>158</v>
      </c>
      <c r="D171" s="195" t="s">
        <v>93</v>
      </c>
      <c r="E171" s="195" t="s">
        <v>269</v>
      </c>
      <c r="F171" s="198">
        <v>100</v>
      </c>
      <c r="G171" s="32">
        <f>G172</f>
        <v>16931.289999999997</v>
      </c>
      <c r="H171" s="32">
        <f t="shared" ref="H171:I171" si="77">H172</f>
        <v>16931.29</v>
      </c>
      <c r="I171" s="32">
        <f t="shared" si="77"/>
        <v>16762.12</v>
      </c>
      <c r="J171" s="224"/>
      <c r="K171" s="224"/>
      <c r="L171" s="224"/>
      <c r="M171" s="226"/>
      <c r="N171" s="226"/>
      <c r="O171" s="226"/>
      <c r="P171" s="225">
        <f t="shared" si="63"/>
        <v>99.000843999482598</v>
      </c>
    </row>
    <row r="172" spans="1:16" x14ac:dyDescent="0.25">
      <c r="A172" s="198">
        <v>160</v>
      </c>
      <c r="B172" s="208" t="s">
        <v>17</v>
      </c>
      <c r="C172" s="195" t="s">
        <v>158</v>
      </c>
      <c r="D172" s="195" t="s">
        <v>93</v>
      </c>
      <c r="E172" s="195" t="s">
        <v>269</v>
      </c>
      <c r="F172" s="198">
        <v>120</v>
      </c>
      <c r="G172" s="32">
        <f>15583.95+641.48+393.17+212.69+100</f>
        <v>16931.289999999997</v>
      </c>
      <c r="H172" s="32">
        <v>16931.29</v>
      </c>
      <c r="I172" s="32">
        <v>16762.12</v>
      </c>
      <c r="J172" s="224">
        <v>393.17</v>
      </c>
      <c r="K172" s="224"/>
      <c r="L172" s="224"/>
      <c r="M172" s="226"/>
      <c r="N172" s="226"/>
      <c r="O172" s="226"/>
      <c r="P172" s="225">
        <f t="shared" si="63"/>
        <v>99.000843999482598</v>
      </c>
    </row>
    <row r="173" spans="1:16" x14ac:dyDescent="0.25">
      <c r="A173" s="198">
        <v>161</v>
      </c>
      <c r="B173" s="208" t="s">
        <v>21</v>
      </c>
      <c r="C173" s="195" t="s">
        <v>158</v>
      </c>
      <c r="D173" s="195" t="s">
        <v>93</v>
      </c>
      <c r="E173" s="195" t="s">
        <v>269</v>
      </c>
      <c r="F173" s="198">
        <v>200</v>
      </c>
      <c r="G173" s="32">
        <f>G174</f>
        <v>6118.0399999999991</v>
      </c>
      <c r="H173" s="32">
        <f t="shared" ref="H173:I173" si="78">H174</f>
        <v>6118.04</v>
      </c>
      <c r="I173" s="32">
        <f t="shared" si="78"/>
        <v>5887.5839999999998</v>
      </c>
      <c r="J173" s="224"/>
      <c r="K173" s="224"/>
      <c r="L173" s="224"/>
      <c r="M173" s="226"/>
      <c r="N173" s="226"/>
      <c r="O173" s="226"/>
      <c r="P173" s="225">
        <f t="shared" si="63"/>
        <v>96.233172715444809</v>
      </c>
    </row>
    <row r="174" spans="1:16" x14ac:dyDescent="0.25">
      <c r="A174" s="198">
        <v>162</v>
      </c>
      <c r="B174" s="208" t="s">
        <v>22</v>
      </c>
      <c r="C174" s="195" t="s">
        <v>158</v>
      </c>
      <c r="D174" s="195" t="s">
        <v>93</v>
      </c>
      <c r="E174" s="195" t="s">
        <v>269</v>
      </c>
      <c r="F174" s="198">
        <v>240</v>
      </c>
      <c r="G174" s="32">
        <f>7037.9-31-16.46-641.48-130.92-100</f>
        <v>6118.0399999999991</v>
      </c>
      <c r="H174" s="32">
        <v>6118.04</v>
      </c>
      <c r="I174" s="32">
        <v>5887.5839999999998</v>
      </c>
      <c r="J174" s="224">
        <v>-130.91999999999999</v>
      </c>
      <c r="K174" s="224"/>
      <c r="L174" s="224"/>
      <c r="M174" s="226"/>
      <c r="N174" s="226"/>
      <c r="O174" s="226"/>
      <c r="P174" s="225">
        <f t="shared" si="63"/>
        <v>96.233172715444809</v>
      </c>
    </row>
    <row r="175" spans="1:16" x14ac:dyDescent="0.25">
      <c r="A175" s="198">
        <v>163</v>
      </c>
      <c r="B175" s="208" t="s">
        <v>33</v>
      </c>
      <c r="C175" s="195" t="s">
        <v>158</v>
      </c>
      <c r="D175" s="195" t="s">
        <v>93</v>
      </c>
      <c r="E175" s="195" t="s">
        <v>269</v>
      </c>
      <c r="F175" s="198">
        <v>800</v>
      </c>
      <c r="G175" s="32">
        <f>G176</f>
        <v>820.36</v>
      </c>
      <c r="H175" s="32">
        <f t="shared" ref="H175:I175" si="79">H176</f>
        <v>820.36</v>
      </c>
      <c r="I175" s="32">
        <f t="shared" si="79"/>
        <v>817.95</v>
      </c>
      <c r="J175" s="224"/>
      <c r="K175" s="224"/>
      <c r="L175" s="224"/>
      <c r="M175" s="226"/>
      <c r="N175" s="226"/>
      <c r="O175" s="226"/>
      <c r="P175" s="225">
        <f t="shared" si="63"/>
        <v>99.706226534692092</v>
      </c>
    </row>
    <row r="176" spans="1:16" x14ac:dyDescent="0.25">
      <c r="A176" s="198">
        <v>164</v>
      </c>
      <c r="B176" s="208" t="s">
        <v>82</v>
      </c>
      <c r="C176" s="195" t="s">
        <v>158</v>
      </c>
      <c r="D176" s="195" t="s">
        <v>93</v>
      </c>
      <c r="E176" s="195" t="s">
        <v>269</v>
      </c>
      <c r="F176" s="198">
        <v>850</v>
      </c>
      <c r="G176" s="32">
        <f>639.44+130.92+50</f>
        <v>820.36</v>
      </c>
      <c r="H176" s="32">
        <v>820.36</v>
      </c>
      <c r="I176" s="32">
        <v>817.95</v>
      </c>
      <c r="J176" s="224">
        <v>130.91999999999999</v>
      </c>
      <c r="K176" s="224"/>
      <c r="L176" s="224"/>
      <c r="M176" s="226"/>
      <c r="N176" s="226"/>
      <c r="O176" s="226"/>
      <c r="P176" s="225">
        <f t="shared" si="63"/>
        <v>99.706226534692092</v>
      </c>
    </row>
    <row r="177" spans="1:16" ht="45" x14ac:dyDescent="0.25">
      <c r="A177" s="198">
        <v>165</v>
      </c>
      <c r="B177" s="203" t="s">
        <v>416</v>
      </c>
      <c r="C177" s="195" t="s">
        <v>158</v>
      </c>
      <c r="D177" s="195" t="s">
        <v>93</v>
      </c>
      <c r="E177" s="195" t="s">
        <v>415</v>
      </c>
      <c r="F177" s="198"/>
      <c r="G177" s="32">
        <f>G178</f>
        <v>3077.11</v>
      </c>
      <c r="H177" s="32">
        <f t="shared" ref="H177:I178" si="80">H178</f>
        <v>3077.11</v>
      </c>
      <c r="I177" s="32">
        <f t="shared" si="80"/>
        <v>3025.88</v>
      </c>
      <c r="J177" s="224"/>
      <c r="K177" s="224"/>
      <c r="L177" s="224"/>
      <c r="M177" s="226"/>
      <c r="N177" s="226"/>
      <c r="O177" s="226"/>
      <c r="P177" s="225">
        <f t="shared" si="63"/>
        <v>98.335126141086931</v>
      </c>
    </row>
    <row r="178" spans="1:16" ht="45" x14ac:dyDescent="0.25">
      <c r="A178" s="198">
        <v>166</v>
      </c>
      <c r="B178" s="208" t="s">
        <v>16</v>
      </c>
      <c r="C178" s="195" t="s">
        <v>158</v>
      </c>
      <c r="D178" s="195" t="s">
        <v>93</v>
      </c>
      <c r="E178" s="195" t="s">
        <v>415</v>
      </c>
      <c r="F178" s="198">
        <v>100</v>
      </c>
      <c r="G178" s="32">
        <f>G179</f>
        <v>3077.11</v>
      </c>
      <c r="H178" s="32">
        <f t="shared" si="80"/>
        <v>3077.11</v>
      </c>
      <c r="I178" s="32">
        <f t="shared" si="80"/>
        <v>3025.88</v>
      </c>
      <c r="J178" s="224"/>
      <c r="K178" s="224"/>
      <c r="L178" s="224"/>
      <c r="M178" s="226"/>
      <c r="N178" s="226"/>
      <c r="O178" s="226"/>
      <c r="P178" s="225">
        <f t="shared" si="63"/>
        <v>98.335126141086931</v>
      </c>
    </row>
    <row r="179" spans="1:16" x14ac:dyDescent="0.25">
      <c r="A179" s="198">
        <v>167</v>
      </c>
      <c r="B179" s="208" t="s">
        <v>17</v>
      </c>
      <c r="C179" s="195" t="s">
        <v>158</v>
      </c>
      <c r="D179" s="195" t="s">
        <v>93</v>
      </c>
      <c r="E179" s="195" t="s">
        <v>415</v>
      </c>
      <c r="F179" s="198">
        <v>120</v>
      </c>
      <c r="G179" s="32">
        <v>3077.11</v>
      </c>
      <c r="H179" s="32">
        <v>3077.11</v>
      </c>
      <c r="I179" s="32">
        <v>3025.88</v>
      </c>
      <c r="J179" s="224"/>
      <c r="K179" s="224"/>
      <c r="L179" s="224"/>
      <c r="M179" s="226"/>
      <c r="N179" s="226"/>
      <c r="O179" s="226"/>
      <c r="P179" s="225">
        <f t="shared" si="63"/>
        <v>98.335126141086931</v>
      </c>
    </row>
    <row r="180" spans="1:16" ht="30" x14ac:dyDescent="0.25">
      <c r="A180" s="198">
        <v>168</v>
      </c>
      <c r="B180" s="208" t="s">
        <v>561</v>
      </c>
      <c r="C180" s="195" t="s">
        <v>158</v>
      </c>
      <c r="D180" s="195" t="s">
        <v>93</v>
      </c>
      <c r="E180" s="195" t="s">
        <v>562</v>
      </c>
      <c r="F180" s="198"/>
      <c r="G180" s="32">
        <f>G181</f>
        <v>214.33</v>
      </c>
      <c r="H180" s="32">
        <f t="shared" ref="H180:I181" si="81">H181</f>
        <v>214.33</v>
      </c>
      <c r="I180" s="32">
        <f t="shared" si="81"/>
        <v>214.33</v>
      </c>
      <c r="J180" s="224"/>
      <c r="K180" s="224"/>
      <c r="L180" s="224"/>
      <c r="M180" s="226"/>
      <c r="N180" s="226"/>
      <c r="O180" s="226"/>
      <c r="P180" s="225">
        <f t="shared" si="63"/>
        <v>100</v>
      </c>
    </row>
    <row r="181" spans="1:16" ht="45" x14ac:dyDescent="0.25">
      <c r="A181" s="198">
        <v>169</v>
      </c>
      <c r="B181" s="208" t="s">
        <v>16</v>
      </c>
      <c r="C181" s="195" t="s">
        <v>158</v>
      </c>
      <c r="D181" s="195" t="s">
        <v>93</v>
      </c>
      <c r="E181" s="195" t="s">
        <v>562</v>
      </c>
      <c r="F181" s="198">
        <v>100</v>
      </c>
      <c r="G181" s="32">
        <f>G182</f>
        <v>214.33</v>
      </c>
      <c r="H181" s="32">
        <f t="shared" si="81"/>
        <v>214.33</v>
      </c>
      <c r="I181" s="32">
        <f t="shared" si="81"/>
        <v>214.33</v>
      </c>
      <c r="J181" s="224"/>
      <c r="K181" s="224"/>
      <c r="L181" s="224"/>
      <c r="M181" s="226"/>
      <c r="N181" s="226"/>
      <c r="O181" s="226"/>
      <c r="P181" s="225">
        <f t="shared" si="63"/>
        <v>100</v>
      </c>
    </row>
    <row r="182" spans="1:16" x14ac:dyDescent="0.25">
      <c r="A182" s="198">
        <v>170</v>
      </c>
      <c r="B182" s="208" t="s">
        <v>17</v>
      </c>
      <c r="C182" s="195" t="s">
        <v>158</v>
      </c>
      <c r="D182" s="195" t="s">
        <v>93</v>
      </c>
      <c r="E182" s="195" t="s">
        <v>562</v>
      </c>
      <c r="F182" s="198">
        <v>120</v>
      </c>
      <c r="G182" s="32">
        <v>214.33</v>
      </c>
      <c r="H182" s="32">
        <v>214.33</v>
      </c>
      <c r="I182" s="32">
        <v>214.33</v>
      </c>
      <c r="J182" s="224"/>
      <c r="K182" s="224"/>
      <c r="L182" s="224"/>
      <c r="M182" s="226"/>
      <c r="N182" s="226"/>
      <c r="O182" s="226"/>
      <c r="P182" s="225">
        <f t="shared" si="63"/>
        <v>100</v>
      </c>
    </row>
    <row r="183" spans="1:16" ht="30" x14ac:dyDescent="0.25">
      <c r="A183" s="198">
        <v>171</v>
      </c>
      <c r="B183" s="208" t="s">
        <v>491</v>
      </c>
      <c r="C183" s="195" t="s">
        <v>158</v>
      </c>
      <c r="D183" s="195" t="s">
        <v>93</v>
      </c>
      <c r="E183" s="195" t="s">
        <v>520</v>
      </c>
      <c r="F183" s="198"/>
      <c r="G183" s="32">
        <f>G184</f>
        <v>1959.4199999999998</v>
      </c>
      <c r="H183" s="32">
        <f t="shared" ref="H183:I184" si="82">H184</f>
        <v>1959.42</v>
      </c>
      <c r="I183" s="32">
        <f t="shared" si="82"/>
        <v>1959.42</v>
      </c>
      <c r="J183" s="224"/>
      <c r="K183" s="224"/>
      <c r="L183" s="224"/>
      <c r="M183" s="226"/>
      <c r="N183" s="226"/>
      <c r="O183" s="226"/>
      <c r="P183" s="225">
        <f t="shared" si="63"/>
        <v>100</v>
      </c>
    </row>
    <row r="184" spans="1:16" ht="45" x14ac:dyDescent="0.25">
      <c r="A184" s="198">
        <v>172</v>
      </c>
      <c r="B184" s="208" t="s">
        <v>16</v>
      </c>
      <c r="C184" s="195" t="s">
        <v>158</v>
      </c>
      <c r="D184" s="195" t="s">
        <v>93</v>
      </c>
      <c r="E184" s="195" t="s">
        <v>520</v>
      </c>
      <c r="F184" s="198">
        <v>100</v>
      </c>
      <c r="G184" s="32">
        <f>G185</f>
        <v>1959.4199999999998</v>
      </c>
      <c r="H184" s="32">
        <f t="shared" si="82"/>
        <v>1959.42</v>
      </c>
      <c r="I184" s="32">
        <f t="shared" si="82"/>
        <v>1959.42</v>
      </c>
      <c r="J184" s="224"/>
      <c r="K184" s="224"/>
      <c r="L184" s="224"/>
      <c r="M184" s="226"/>
      <c r="N184" s="226"/>
      <c r="O184" s="226"/>
      <c r="P184" s="225">
        <f t="shared" si="63"/>
        <v>100</v>
      </c>
    </row>
    <row r="185" spans="1:16" x14ac:dyDescent="0.25">
      <c r="A185" s="198">
        <v>173</v>
      </c>
      <c r="B185" s="208" t="s">
        <v>17</v>
      </c>
      <c r="C185" s="195" t="s">
        <v>158</v>
      </c>
      <c r="D185" s="195" t="s">
        <v>93</v>
      </c>
      <c r="E185" s="195" t="s">
        <v>520</v>
      </c>
      <c r="F185" s="198">
        <v>120</v>
      </c>
      <c r="G185" s="32">
        <f>2160.93-201.51</f>
        <v>1959.4199999999998</v>
      </c>
      <c r="H185" s="32">
        <v>1959.42</v>
      </c>
      <c r="I185" s="32">
        <v>1959.42</v>
      </c>
      <c r="J185" s="224">
        <f>2160.93-201.51</f>
        <v>1959.4199999999998</v>
      </c>
      <c r="K185" s="224"/>
      <c r="L185" s="224"/>
      <c r="M185" s="226"/>
      <c r="N185" s="226"/>
      <c r="O185" s="226"/>
      <c r="P185" s="225">
        <f t="shared" si="63"/>
        <v>100</v>
      </c>
    </row>
    <row r="186" spans="1:16" ht="45" x14ac:dyDescent="0.25">
      <c r="A186" s="198">
        <v>174</v>
      </c>
      <c r="B186" s="203" t="s">
        <v>398</v>
      </c>
      <c r="C186" s="195" t="s">
        <v>158</v>
      </c>
      <c r="D186" s="195" t="s">
        <v>93</v>
      </c>
      <c r="E186" s="195" t="s">
        <v>436</v>
      </c>
      <c r="F186" s="198"/>
      <c r="G186" s="32">
        <f>G187</f>
        <v>101.6</v>
      </c>
      <c r="H186" s="32">
        <f t="shared" ref="H186:I187" si="83">H187</f>
        <v>101.6</v>
      </c>
      <c r="I186" s="32">
        <f t="shared" si="83"/>
        <v>101.6</v>
      </c>
      <c r="J186" s="224"/>
      <c r="K186" s="224"/>
      <c r="L186" s="224"/>
      <c r="M186" s="226"/>
      <c r="N186" s="226"/>
      <c r="O186" s="226"/>
      <c r="P186" s="225">
        <f t="shared" si="63"/>
        <v>100</v>
      </c>
    </row>
    <row r="187" spans="1:16" ht="45" x14ac:dyDescent="0.25">
      <c r="A187" s="198">
        <v>175</v>
      </c>
      <c r="B187" s="208" t="s">
        <v>16</v>
      </c>
      <c r="C187" s="195" t="s">
        <v>158</v>
      </c>
      <c r="D187" s="195" t="s">
        <v>93</v>
      </c>
      <c r="E187" s="195" t="s">
        <v>436</v>
      </c>
      <c r="F187" s="198">
        <v>100</v>
      </c>
      <c r="G187" s="32">
        <f>G188</f>
        <v>101.6</v>
      </c>
      <c r="H187" s="32">
        <f t="shared" si="83"/>
        <v>101.6</v>
      </c>
      <c r="I187" s="32">
        <f t="shared" si="83"/>
        <v>101.6</v>
      </c>
      <c r="J187" s="224"/>
      <c r="K187" s="224"/>
      <c r="L187" s="224"/>
      <c r="M187" s="226"/>
      <c r="N187" s="226"/>
      <c r="O187" s="226"/>
      <c r="P187" s="225">
        <f t="shared" si="63"/>
        <v>100</v>
      </c>
    </row>
    <row r="188" spans="1:16" x14ac:dyDescent="0.25">
      <c r="A188" s="198">
        <v>176</v>
      </c>
      <c r="B188" s="208" t="s">
        <v>17</v>
      </c>
      <c r="C188" s="195" t="s">
        <v>158</v>
      </c>
      <c r="D188" s="195" t="s">
        <v>93</v>
      </c>
      <c r="E188" s="195" t="s">
        <v>436</v>
      </c>
      <c r="F188" s="198">
        <v>120</v>
      </c>
      <c r="G188" s="32">
        <f>76.2+25.4</f>
        <v>101.6</v>
      </c>
      <c r="H188" s="32">
        <v>101.6</v>
      </c>
      <c r="I188" s="32">
        <v>101.6</v>
      </c>
      <c r="J188" s="224"/>
      <c r="K188" s="224"/>
      <c r="L188" s="224"/>
      <c r="M188" s="226"/>
      <c r="N188" s="226"/>
      <c r="O188" s="226"/>
      <c r="P188" s="225">
        <f t="shared" si="63"/>
        <v>100</v>
      </c>
    </row>
    <row r="189" spans="1:16" x14ac:dyDescent="0.25">
      <c r="A189" s="198">
        <v>177</v>
      </c>
      <c r="B189" s="62" t="s">
        <v>162</v>
      </c>
      <c r="C189" s="195" t="s">
        <v>158</v>
      </c>
      <c r="D189" s="195" t="s">
        <v>165</v>
      </c>
      <c r="E189" s="198"/>
      <c r="F189" s="198"/>
      <c r="G189" s="32">
        <f>G190</f>
        <v>5</v>
      </c>
      <c r="H189" s="32">
        <f t="shared" ref="H189:I189" si="84">H190</f>
        <v>5</v>
      </c>
      <c r="I189" s="32">
        <f t="shared" si="84"/>
        <v>5</v>
      </c>
      <c r="J189" s="224"/>
      <c r="K189" s="224"/>
      <c r="L189" s="224"/>
      <c r="M189" s="226"/>
      <c r="N189" s="226"/>
      <c r="O189" s="226"/>
      <c r="P189" s="225">
        <f t="shared" si="63"/>
        <v>100</v>
      </c>
    </row>
    <row r="190" spans="1:16" x14ac:dyDescent="0.25">
      <c r="A190" s="198">
        <v>178</v>
      </c>
      <c r="B190" s="203" t="s">
        <v>264</v>
      </c>
      <c r="C190" s="195" t="s">
        <v>158</v>
      </c>
      <c r="D190" s="195" t="s">
        <v>165</v>
      </c>
      <c r="E190" s="198">
        <v>8500000000</v>
      </c>
      <c r="F190" s="198"/>
      <c r="G190" s="32">
        <f>G192</f>
        <v>5</v>
      </c>
      <c r="H190" s="32">
        <f>H192</f>
        <v>5</v>
      </c>
      <c r="I190" s="32">
        <f>I192</f>
        <v>5</v>
      </c>
      <c r="J190" s="224"/>
      <c r="K190" s="224"/>
      <c r="L190" s="224"/>
      <c r="M190" s="226"/>
      <c r="N190" s="226"/>
      <c r="O190" s="226"/>
      <c r="P190" s="225">
        <f t="shared" si="63"/>
        <v>100</v>
      </c>
    </row>
    <row r="191" spans="1:16" x14ac:dyDescent="0.25">
      <c r="A191" s="198">
        <v>179</v>
      </c>
      <c r="B191" s="203" t="s">
        <v>265</v>
      </c>
      <c r="C191" s="195" t="s">
        <v>158</v>
      </c>
      <c r="D191" s="195" t="s">
        <v>165</v>
      </c>
      <c r="E191" s="198">
        <v>8510000000</v>
      </c>
      <c r="F191" s="198"/>
      <c r="G191" s="32">
        <f>G192</f>
        <v>5</v>
      </c>
      <c r="H191" s="32">
        <f t="shared" ref="H191:I191" si="85">H192</f>
        <v>5</v>
      </c>
      <c r="I191" s="32">
        <f t="shared" si="85"/>
        <v>5</v>
      </c>
      <c r="J191" s="224"/>
      <c r="K191" s="224"/>
      <c r="L191" s="224"/>
      <c r="M191" s="226"/>
      <c r="N191" s="226"/>
      <c r="O191" s="226"/>
      <c r="P191" s="225">
        <f t="shared" si="63"/>
        <v>100</v>
      </c>
    </row>
    <row r="192" spans="1:16" ht="45" x14ac:dyDescent="0.25">
      <c r="A192" s="198">
        <v>180</v>
      </c>
      <c r="B192" s="203" t="s">
        <v>458</v>
      </c>
      <c r="C192" s="195" t="s">
        <v>158</v>
      </c>
      <c r="D192" s="195" t="s">
        <v>165</v>
      </c>
      <c r="E192" s="198">
        <v>8510051200</v>
      </c>
      <c r="F192" s="198"/>
      <c r="G192" s="32">
        <f>G193</f>
        <v>5</v>
      </c>
      <c r="H192" s="32">
        <f t="shared" ref="H192:I192" si="86">H193</f>
        <v>5</v>
      </c>
      <c r="I192" s="32">
        <f t="shared" si="86"/>
        <v>5</v>
      </c>
      <c r="J192" s="224"/>
      <c r="K192" s="224"/>
      <c r="L192" s="224"/>
      <c r="M192" s="226"/>
      <c r="N192" s="226"/>
      <c r="O192" s="226"/>
      <c r="P192" s="225">
        <f t="shared" si="63"/>
        <v>100</v>
      </c>
    </row>
    <row r="193" spans="1:16" x14ac:dyDescent="0.25">
      <c r="A193" s="198">
        <v>181</v>
      </c>
      <c r="B193" s="208" t="s">
        <v>21</v>
      </c>
      <c r="C193" s="195" t="s">
        <v>158</v>
      </c>
      <c r="D193" s="195" t="s">
        <v>165</v>
      </c>
      <c r="E193" s="198">
        <v>8510051200</v>
      </c>
      <c r="F193" s="198">
        <v>200</v>
      </c>
      <c r="G193" s="32">
        <f>G194</f>
        <v>5</v>
      </c>
      <c r="H193" s="32">
        <f t="shared" ref="H193:I193" si="87">H194</f>
        <v>5</v>
      </c>
      <c r="I193" s="32">
        <f t="shared" si="87"/>
        <v>5</v>
      </c>
      <c r="J193" s="224"/>
      <c r="K193" s="224"/>
      <c r="L193" s="224"/>
      <c r="M193" s="226"/>
      <c r="N193" s="226"/>
      <c r="O193" s="226"/>
      <c r="P193" s="225">
        <f t="shared" si="63"/>
        <v>100</v>
      </c>
    </row>
    <row r="194" spans="1:16" x14ac:dyDescent="0.25">
      <c r="A194" s="198">
        <v>182</v>
      </c>
      <c r="B194" s="208" t="s">
        <v>22</v>
      </c>
      <c r="C194" s="195" t="s">
        <v>158</v>
      </c>
      <c r="D194" s="195" t="s">
        <v>165</v>
      </c>
      <c r="E194" s="198">
        <v>8510051200</v>
      </c>
      <c r="F194" s="198">
        <v>240</v>
      </c>
      <c r="G194" s="32">
        <v>5</v>
      </c>
      <c r="H194" s="32">
        <v>5</v>
      </c>
      <c r="I194" s="32">
        <v>5</v>
      </c>
      <c r="J194" s="224">
        <v>0</v>
      </c>
      <c r="K194" s="224">
        <v>0.1</v>
      </c>
      <c r="L194" s="224">
        <v>41.8</v>
      </c>
      <c r="M194" s="226"/>
      <c r="N194" s="226"/>
      <c r="O194" s="226"/>
      <c r="P194" s="225">
        <f t="shared" si="63"/>
        <v>100</v>
      </c>
    </row>
    <row r="195" spans="1:16" x14ac:dyDescent="0.25">
      <c r="A195" s="198">
        <v>183</v>
      </c>
      <c r="B195" s="203" t="s">
        <v>450</v>
      </c>
      <c r="C195" s="195" t="s">
        <v>158</v>
      </c>
      <c r="D195" s="195" t="s">
        <v>449</v>
      </c>
      <c r="E195" s="198"/>
      <c r="F195" s="198"/>
      <c r="G195" s="32">
        <f>G196</f>
        <v>1451.2</v>
      </c>
      <c r="H195" s="32">
        <f t="shared" ref="H195:I199" si="88">H196</f>
        <v>1451.2</v>
      </c>
      <c r="I195" s="32">
        <f t="shared" si="88"/>
        <v>1451.2</v>
      </c>
      <c r="J195" s="224"/>
      <c r="K195" s="224"/>
      <c r="L195" s="224"/>
      <c r="M195" s="226"/>
      <c r="N195" s="226"/>
      <c r="O195" s="226"/>
      <c r="P195" s="225">
        <f t="shared" si="63"/>
        <v>100</v>
      </c>
    </row>
    <row r="196" spans="1:16" x14ac:dyDescent="0.25">
      <c r="A196" s="198">
        <v>184</v>
      </c>
      <c r="B196" s="203" t="s">
        <v>264</v>
      </c>
      <c r="C196" s="195" t="s">
        <v>158</v>
      </c>
      <c r="D196" s="195" t="s">
        <v>449</v>
      </c>
      <c r="E196" s="198">
        <v>8500000000</v>
      </c>
      <c r="F196" s="198"/>
      <c r="G196" s="32">
        <f>G197</f>
        <v>1451.2</v>
      </c>
      <c r="H196" s="32">
        <f t="shared" si="88"/>
        <v>1451.2</v>
      </c>
      <c r="I196" s="32">
        <f t="shared" si="88"/>
        <v>1451.2</v>
      </c>
      <c r="J196" s="224"/>
      <c r="K196" s="224"/>
      <c r="L196" s="224"/>
      <c r="M196" s="226"/>
      <c r="N196" s="226"/>
      <c r="O196" s="226"/>
      <c r="P196" s="225">
        <f t="shared" si="63"/>
        <v>100</v>
      </c>
    </row>
    <row r="197" spans="1:16" x14ac:dyDescent="0.25">
      <c r="A197" s="198">
        <v>185</v>
      </c>
      <c r="B197" s="203" t="s">
        <v>265</v>
      </c>
      <c r="C197" s="195" t="s">
        <v>158</v>
      </c>
      <c r="D197" s="195" t="s">
        <v>449</v>
      </c>
      <c r="E197" s="198">
        <v>8510000000</v>
      </c>
      <c r="F197" s="198"/>
      <c r="G197" s="32">
        <f>G198</f>
        <v>1451.2</v>
      </c>
      <c r="H197" s="32">
        <f t="shared" si="88"/>
        <v>1451.2</v>
      </c>
      <c r="I197" s="32">
        <f t="shared" si="88"/>
        <v>1451.2</v>
      </c>
      <c r="J197" s="224"/>
      <c r="K197" s="224"/>
      <c r="L197" s="224"/>
      <c r="M197" s="226"/>
      <c r="N197" s="226"/>
      <c r="O197" s="226"/>
      <c r="P197" s="225">
        <f t="shared" si="63"/>
        <v>100</v>
      </c>
    </row>
    <row r="198" spans="1:16" ht="30" x14ac:dyDescent="0.25">
      <c r="A198" s="198">
        <v>186</v>
      </c>
      <c r="B198" s="203" t="s">
        <v>451</v>
      </c>
      <c r="C198" s="195" t="s">
        <v>158</v>
      </c>
      <c r="D198" s="195" t="s">
        <v>449</v>
      </c>
      <c r="E198" s="198">
        <v>8510000260</v>
      </c>
      <c r="F198" s="198"/>
      <c r="G198" s="32">
        <f>G199</f>
        <v>1451.2</v>
      </c>
      <c r="H198" s="32">
        <f t="shared" si="88"/>
        <v>1451.2</v>
      </c>
      <c r="I198" s="32">
        <f t="shared" si="88"/>
        <v>1451.2</v>
      </c>
      <c r="J198" s="224"/>
      <c r="K198" s="224"/>
      <c r="L198" s="224"/>
      <c r="M198" s="226"/>
      <c r="N198" s="226"/>
      <c r="O198" s="226"/>
      <c r="P198" s="225">
        <f t="shared" si="63"/>
        <v>100</v>
      </c>
    </row>
    <row r="199" spans="1:16" x14ac:dyDescent="0.25">
      <c r="A199" s="198">
        <v>187</v>
      </c>
      <c r="B199" s="208" t="s">
        <v>33</v>
      </c>
      <c r="C199" s="195" t="s">
        <v>158</v>
      </c>
      <c r="D199" s="195" t="s">
        <v>449</v>
      </c>
      <c r="E199" s="198">
        <v>8510000260</v>
      </c>
      <c r="F199" s="198">
        <v>800</v>
      </c>
      <c r="G199" s="32">
        <f>G200</f>
        <v>1451.2</v>
      </c>
      <c r="H199" s="32">
        <f t="shared" si="88"/>
        <v>1451.2</v>
      </c>
      <c r="I199" s="32">
        <f t="shared" si="88"/>
        <v>1451.2</v>
      </c>
      <c r="J199" s="224"/>
      <c r="K199" s="224"/>
      <c r="L199" s="224"/>
      <c r="M199" s="226"/>
      <c r="N199" s="226"/>
      <c r="O199" s="226"/>
      <c r="P199" s="225">
        <f t="shared" si="63"/>
        <v>100</v>
      </c>
    </row>
    <row r="200" spans="1:16" x14ac:dyDescent="0.25">
      <c r="A200" s="198">
        <v>188</v>
      </c>
      <c r="B200" s="203" t="s">
        <v>452</v>
      </c>
      <c r="C200" s="195" t="s">
        <v>158</v>
      </c>
      <c r="D200" s="195" t="s">
        <v>449</v>
      </c>
      <c r="E200" s="198">
        <v>8510000260</v>
      </c>
      <c r="F200" s="198">
        <v>880</v>
      </c>
      <c r="G200" s="32">
        <f>967+484.2</f>
        <v>1451.2</v>
      </c>
      <c r="H200" s="32">
        <v>1451.2</v>
      </c>
      <c r="I200" s="32">
        <v>1451.2</v>
      </c>
      <c r="J200" s="224">
        <v>484.2</v>
      </c>
      <c r="K200" s="224"/>
      <c r="L200" s="224"/>
      <c r="M200" s="226"/>
      <c r="N200" s="226"/>
      <c r="O200" s="226"/>
      <c r="P200" s="225">
        <f t="shared" si="63"/>
        <v>100</v>
      </c>
    </row>
    <row r="201" spans="1:16" x14ac:dyDescent="0.25">
      <c r="A201" s="198">
        <v>189</v>
      </c>
      <c r="B201" s="62" t="s">
        <v>32</v>
      </c>
      <c r="C201" s="195" t="s">
        <v>158</v>
      </c>
      <c r="D201" s="195" t="s">
        <v>95</v>
      </c>
      <c r="E201" s="198"/>
      <c r="F201" s="198"/>
      <c r="G201" s="32">
        <f>G202</f>
        <v>150</v>
      </c>
      <c r="H201" s="32">
        <f t="shared" ref="H201:I204" si="89">H202</f>
        <v>150</v>
      </c>
      <c r="I201" s="32">
        <f t="shared" si="89"/>
        <v>0</v>
      </c>
      <c r="J201" s="224"/>
      <c r="K201" s="224"/>
      <c r="L201" s="224"/>
      <c r="M201" s="226"/>
      <c r="N201" s="226"/>
      <c r="O201" s="226"/>
      <c r="P201" s="225">
        <f t="shared" si="63"/>
        <v>0</v>
      </c>
    </row>
    <row r="202" spans="1:16" x14ac:dyDescent="0.25">
      <c r="A202" s="198">
        <v>190</v>
      </c>
      <c r="B202" s="203" t="s">
        <v>264</v>
      </c>
      <c r="C202" s="195" t="s">
        <v>158</v>
      </c>
      <c r="D202" s="195" t="s">
        <v>95</v>
      </c>
      <c r="E202" s="198">
        <v>8500000000</v>
      </c>
      <c r="F202" s="198"/>
      <c r="G202" s="32">
        <f>G204</f>
        <v>150</v>
      </c>
      <c r="H202" s="32">
        <f>H204</f>
        <v>150</v>
      </c>
      <c r="I202" s="32">
        <f>I204</f>
        <v>0</v>
      </c>
      <c r="J202" s="224"/>
      <c r="K202" s="224"/>
      <c r="L202" s="224"/>
      <c r="M202" s="226"/>
      <c r="N202" s="226"/>
      <c r="O202" s="226"/>
      <c r="P202" s="225">
        <f t="shared" si="63"/>
        <v>0</v>
      </c>
    </row>
    <row r="203" spans="1:16" x14ac:dyDescent="0.25">
      <c r="A203" s="198">
        <v>191</v>
      </c>
      <c r="B203" s="203" t="s">
        <v>265</v>
      </c>
      <c r="C203" s="195" t="s">
        <v>158</v>
      </c>
      <c r="D203" s="195" t="s">
        <v>95</v>
      </c>
      <c r="E203" s="198">
        <v>8510000000</v>
      </c>
      <c r="F203" s="198"/>
      <c r="G203" s="32">
        <f>G204</f>
        <v>150</v>
      </c>
      <c r="H203" s="32">
        <f t="shared" ref="H203:I203" si="90">H204</f>
        <v>150</v>
      </c>
      <c r="I203" s="32">
        <f t="shared" si="90"/>
        <v>0</v>
      </c>
      <c r="J203" s="224"/>
      <c r="K203" s="224"/>
      <c r="L203" s="224"/>
      <c r="M203" s="226"/>
      <c r="N203" s="226"/>
      <c r="O203" s="226"/>
      <c r="P203" s="225">
        <f t="shared" si="63"/>
        <v>0</v>
      </c>
    </row>
    <row r="204" spans="1:16" x14ac:dyDescent="0.25">
      <c r="A204" s="198">
        <v>192</v>
      </c>
      <c r="B204" s="37" t="s">
        <v>35</v>
      </c>
      <c r="C204" s="195" t="s">
        <v>158</v>
      </c>
      <c r="D204" s="195" t="s">
        <v>95</v>
      </c>
      <c r="E204" s="198">
        <v>8510010110</v>
      </c>
      <c r="F204" s="198"/>
      <c r="G204" s="32">
        <f>G205</f>
        <v>150</v>
      </c>
      <c r="H204" s="32">
        <f t="shared" si="89"/>
        <v>150</v>
      </c>
      <c r="I204" s="32">
        <f t="shared" si="89"/>
        <v>0</v>
      </c>
      <c r="J204" s="224"/>
      <c r="K204" s="224"/>
      <c r="L204" s="224"/>
      <c r="M204" s="226"/>
      <c r="N204" s="226"/>
      <c r="O204" s="226"/>
      <c r="P204" s="225">
        <f t="shared" si="63"/>
        <v>0</v>
      </c>
    </row>
    <row r="205" spans="1:16" x14ac:dyDescent="0.25">
      <c r="A205" s="198">
        <v>193</v>
      </c>
      <c r="B205" s="208" t="s">
        <v>33</v>
      </c>
      <c r="C205" s="195" t="s">
        <v>158</v>
      </c>
      <c r="D205" s="195" t="s">
        <v>95</v>
      </c>
      <c r="E205" s="198">
        <v>8510010110</v>
      </c>
      <c r="F205" s="198">
        <v>800</v>
      </c>
      <c r="G205" s="32">
        <f>G206</f>
        <v>150</v>
      </c>
      <c r="H205" s="32">
        <f t="shared" ref="H205:I205" si="91">H206</f>
        <v>150</v>
      </c>
      <c r="I205" s="32">
        <f t="shared" si="91"/>
        <v>0</v>
      </c>
      <c r="J205" s="224"/>
      <c r="K205" s="224"/>
      <c r="L205" s="224"/>
      <c r="M205" s="226"/>
      <c r="N205" s="226"/>
      <c r="O205" s="226"/>
      <c r="P205" s="225">
        <f t="shared" si="63"/>
        <v>0</v>
      </c>
    </row>
    <row r="206" spans="1:16" x14ac:dyDescent="0.25">
      <c r="A206" s="198">
        <v>194</v>
      </c>
      <c r="B206" s="208" t="s">
        <v>34</v>
      </c>
      <c r="C206" s="195" t="s">
        <v>158</v>
      </c>
      <c r="D206" s="195" t="s">
        <v>95</v>
      </c>
      <c r="E206" s="198">
        <v>8510010110</v>
      </c>
      <c r="F206" s="198">
        <v>870</v>
      </c>
      <c r="G206" s="32">
        <v>150</v>
      </c>
      <c r="H206" s="32">
        <v>150</v>
      </c>
      <c r="I206" s="32">
        <v>0</v>
      </c>
      <c r="J206" s="224"/>
      <c r="K206" s="224"/>
      <c r="L206" s="224"/>
      <c r="M206" s="226"/>
      <c r="N206" s="226"/>
      <c r="O206" s="226"/>
      <c r="P206" s="225">
        <f t="shared" ref="P206:P269" si="92">I206/H206*100</f>
        <v>0</v>
      </c>
    </row>
    <row r="207" spans="1:16" x14ac:dyDescent="0.25">
      <c r="A207" s="198">
        <v>195</v>
      </c>
      <c r="B207" s="62" t="s">
        <v>36</v>
      </c>
      <c r="C207" s="195" t="s">
        <v>158</v>
      </c>
      <c r="D207" s="195" t="s">
        <v>96</v>
      </c>
      <c r="E207" s="198"/>
      <c r="F207" s="198"/>
      <c r="G207" s="32">
        <f>G208+G236</f>
        <v>13929.740000000003</v>
      </c>
      <c r="H207" s="32">
        <f>H208+H236</f>
        <v>13929.740000000003</v>
      </c>
      <c r="I207" s="32">
        <f>I208+I236</f>
        <v>10062.790000000001</v>
      </c>
      <c r="J207" s="224"/>
      <c r="K207" s="224"/>
      <c r="L207" s="224"/>
      <c r="M207" s="226"/>
      <c r="N207" s="226"/>
      <c r="O207" s="226"/>
      <c r="P207" s="225">
        <f t="shared" si="92"/>
        <v>72.239611076732217</v>
      </c>
    </row>
    <row r="208" spans="1:16" x14ac:dyDescent="0.25">
      <c r="A208" s="198">
        <v>196</v>
      </c>
      <c r="B208" s="203" t="s">
        <v>264</v>
      </c>
      <c r="C208" s="195" t="s">
        <v>158</v>
      </c>
      <c r="D208" s="195" t="s">
        <v>96</v>
      </c>
      <c r="E208" s="198">
        <v>8500000000</v>
      </c>
      <c r="F208" s="198"/>
      <c r="G208" s="32">
        <f>G209</f>
        <v>13194.640000000003</v>
      </c>
      <c r="H208" s="32">
        <f t="shared" ref="H208:I208" si="93">H209</f>
        <v>13194.640000000003</v>
      </c>
      <c r="I208" s="32">
        <f t="shared" si="93"/>
        <v>9334.18</v>
      </c>
      <c r="J208" s="224"/>
      <c r="K208" s="224"/>
      <c r="L208" s="224"/>
      <c r="M208" s="226"/>
      <c r="N208" s="226"/>
      <c r="O208" s="226"/>
      <c r="P208" s="225">
        <f t="shared" si="92"/>
        <v>70.742210473343704</v>
      </c>
    </row>
    <row r="209" spans="1:16" x14ac:dyDescent="0.25">
      <c r="A209" s="198">
        <v>197</v>
      </c>
      <c r="B209" s="203" t="s">
        <v>265</v>
      </c>
      <c r="C209" s="195" t="s">
        <v>158</v>
      </c>
      <c r="D209" s="195" t="s">
        <v>96</v>
      </c>
      <c r="E209" s="198">
        <v>8510000000</v>
      </c>
      <c r="F209" s="198"/>
      <c r="G209" s="32">
        <f>G213+G218+G223+G227+G230+G210+G233</f>
        <v>13194.640000000003</v>
      </c>
      <c r="H209" s="32">
        <f t="shared" ref="H209:I209" si="94">H213+H218+H223+H227+H230+H210+H233</f>
        <v>13194.640000000003</v>
      </c>
      <c r="I209" s="32">
        <f t="shared" si="94"/>
        <v>9334.18</v>
      </c>
      <c r="J209" s="224"/>
      <c r="K209" s="224"/>
      <c r="L209" s="224"/>
      <c r="M209" s="226"/>
      <c r="N209" s="226"/>
      <c r="O209" s="226"/>
      <c r="P209" s="225">
        <f t="shared" si="92"/>
        <v>70.742210473343704</v>
      </c>
    </row>
    <row r="210" spans="1:16" ht="30" x14ac:dyDescent="0.25">
      <c r="A210" s="198">
        <v>198</v>
      </c>
      <c r="B210" s="203" t="s">
        <v>544</v>
      </c>
      <c r="C210" s="195" t="s">
        <v>158</v>
      </c>
      <c r="D210" s="195" t="s">
        <v>96</v>
      </c>
      <c r="E210" s="198">
        <v>8510029990</v>
      </c>
      <c r="F210" s="198"/>
      <c r="G210" s="32">
        <f>G211</f>
        <v>3366.8</v>
      </c>
      <c r="H210" s="32">
        <f t="shared" ref="H210:I211" si="95">H211</f>
        <v>3366.8</v>
      </c>
      <c r="I210" s="32">
        <f t="shared" si="95"/>
        <v>0</v>
      </c>
      <c r="J210" s="224"/>
      <c r="K210" s="224"/>
      <c r="L210" s="224"/>
      <c r="M210" s="226"/>
      <c r="N210" s="226"/>
      <c r="O210" s="226"/>
      <c r="P210" s="225">
        <f t="shared" si="92"/>
        <v>0</v>
      </c>
    </row>
    <row r="211" spans="1:16" x14ac:dyDescent="0.25">
      <c r="A211" s="198">
        <v>199</v>
      </c>
      <c r="B211" s="208" t="s">
        <v>33</v>
      </c>
      <c r="C211" s="195" t="s">
        <v>158</v>
      </c>
      <c r="D211" s="195" t="s">
        <v>96</v>
      </c>
      <c r="E211" s="198">
        <v>8510029990</v>
      </c>
      <c r="F211" s="198">
        <v>800</v>
      </c>
      <c r="G211" s="32">
        <f>G212</f>
        <v>3366.8</v>
      </c>
      <c r="H211" s="32">
        <f t="shared" si="95"/>
        <v>3366.8</v>
      </c>
      <c r="I211" s="32">
        <f t="shared" si="95"/>
        <v>0</v>
      </c>
      <c r="J211" s="224"/>
      <c r="K211" s="224"/>
      <c r="L211" s="224"/>
      <c r="M211" s="226"/>
      <c r="N211" s="226"/>
      <c r="O211" s="226"/>
      <c r="P211" s="225">
        <f t="shared" si="92"/>
        <v>0</v>
      </c>
    </row>
    <row r="212" spans="1:16" x14ac:dyDescent="0.25">
      <c r="A212" s="198">
        <v>200</v>
      </c>
      <c r="B212" s="208" t="s">
        <v>34</v>
      </c>
      <c r="C212" s="195" t="s">
        <v>158</v>
      </c>
      <c r="D212" s="195" t="s">
        <v>96</v>
      </c>
      <c r="E212" s="198">
        <v>8510029990</v>
      </c>
      <c r="F212" s="198">
        <v>870</v>
      </c>
      <c r="G212" s="32">
        <v>3366.8</v>
      </c>
      <c r="H212" s="32">
        <v>3366.8</v>
      </c>
      <c r="I212" s="32">
        <v>0</v>
      </c>
      <c r="J212" s="224">
        <v>3366.8</v>
      </c>
      <c r="K212" s="224"/>
      <c r="L212" s="224"/>
      <c r="M212" s="226"/>
      <c r="N212" s="226"/>
      <c r="O212" s="226"/>
      <c r="P212" s="225">
        <f t="shared" si="92"/>
        <v>0</v>
      </c>
    </row>
    <row r="213" spans="1:16" ht="45" x14ac:dyDescent="0.25">
      <c r="A213" s="198">
        <v>201</v>
      </c>
      <c r="B213" s="200" t="s">
        <v>37</v>
      </c>
      <c r="C213" s="195" t="s">
        <v>158</v>
      </c>
      <c r="D213" s="195" t="s">
        <v>96</v>
      </c>
      <c r="E213" s="198">
        <v>8510074290</v>
      </c>
      <c r="F213" s="198"/>
      <c r="G213" s="32">
        <f>G214+G216</f>
        <v>43.199999999999996</v>
      </c>
      <c r="H213" s="32">
        <f>H214+H216</f>
        <v>43.2</v>
      </c>
      <c r="I213" s="32">
        <f>I214+I216</f>
        <v>23.78</v>
      </c>
      <c r="J213" s="224"/>
      <c r="K213" s="224"/>
      <c r="L213" s="224"/>
      <c r="M213" s="226"/>
      <c r="N213" s="226"/>
      <c r="O213" s="226"/>
      <c r="P213" s="225">
        <f t="shared" si="92"/>
        <v>55.046296296296291</v>
      </c>
    </row>
    <row r="214" spans="1:16" ht="45" x14ac:dyDescent="0.25">
      <c r="A214" s="198">
        <v>202</v>
      </c>
      <c r="B214" s="208" t="s">
        <v>16</v>
      </c>
      <c r="C214" s="195" t="s">
        <v>158</v>
      </c>
      <c r="D214" s="195" t="s">
        <v>96</v>
      </c>
      <c r="E214" s="198">
        <v>8510074290</v>
      </c>
      <c r="F214" s="198">
        <v>100</v>
      </c>
      <c r="G214" s="32">
        <f>G215</f>
        <v>41.239999999999995</v>
      </c>
      <c r="H214" s="32">
        <v>41.24</v>
      </c>
      <c r="I214" s="32">
        <v>21.82</v>
      </c>
      <c r="J214" s="224"/>
      <c r="K214" s="224"/>
      <c r="L214" s="224"/>
      <c r="M214" s="226"/>
      <c r="N214" s="226"/>
      <c r="O214" s="226"/>
      <c r="P214" s="225">
        <f t="shared" si="92"/>
        <v>52.909796314257996</v>
      </c>
    </row>
    <row r="215" spans="1:16" x14ac:dyDescent="0.25">
      <c r="A215" s="198">
        <v>203</v>
      </c>
      <c r="B215" s="208" t="s">
        <v>17</v>
      </c>
      <c r="C215" s="195" t="s">
        <v>158</v>
      </c>
      <c r="D215" s="195" t="s">
        <v>96</v>
      </c>
      <c r="E215" s="198">
        <v>8510074290</v>
      </c>
      <c r="F215" s="198">
        <v>120</v>
      </c>
      <c r="G215" s="32">
        <f>36.64+4.3+0.3</f>
        <v>41.239999999999995</v>
      </c>
      <c r="H215" s="32">
        <v>41.24</v>
      </c>
      <c r="I215" s="32">
        <v>21.82</v>
      </c>
      <c r="J215" s="224">
        <v>4.3</v>
      </c>
      <c r="K215" s="224">
        <v>8.5</v>
      </c>
      <c r="L215" s="224">
        <v>8.5</v>
      </c>
      <c r="M215" s="226"/>
      <c r="N215" s="226"/>
      <c r="O215" s="226"/>
      <c r="P215" s="225">
        <f t="shared" si="92"/>
        <v>52.909796314257996</v>
      </c>
    </row>
    <row r="216" spans="1:16" x14ac:dyDescent="0.25">
      <c r="A216" s="198">
        <v>204</v>
      </c>
      <c r="B216" s="208" t="s">
        <v>21</v>
      </c>
      <c r="C216" s="195" t="s">
        <v>158</v>
      </c>
      <c r="D216" s="195" t="s">
        <v>96</v>
      </c>
      <c r="E216" s="198">
        <v>8510074290</v>
      </c>
      <c r="F216" s="198">
        <v>200</v>
      </c>
      <c r="G216" s="32">
        <f>G217</f>
        <v>1.96</v>
      </c>
      <c r="H216" s="32">
        <f t="shared" ref="H216:I216" si="96">H217</f>
        <v>1.96</v>
      </c>
      <c r="I216" s="32">
        <f t="shared" si="96"/>
        <v>1.96</v>
      </c>
      <c r="J216" s="224"/>
      <c r="K216" s="224"/>
      <c r="L216" s="224"/>
      <c r="M216" s="226"/>
      <c r="N216" s="226"/>
      <c r="O216" s="226"/>
      <c r="P216" s="225">
        <f t="shared" si="92"/>
        <v>100</v>
      </c>
    </row>
    <row r="217" spans="1:16" x14ac:dyDescent="0.25">
      <c r="A217" s="198">
        <v>205</v>
      </c>
      <c r="B217" s="208" t="s">
        <v>22</v>
      </c>
      <c r="C217" s="195" t="s">
        <v>158</v>
      </c>
      <c r="D217" s="195" t="s">
        <v>96</v>
      </c>
      <c r="E217" s="198">
        <v>8510074290</v>
      </c>
      <c r="F217" s="198">
        <v>240</v>
      </c>
      <c r="G217" s="32">
        <v>1.96</v>
      </c>
      <c r="H217" s="32">
        <v>1.96</v>
      </c>
      <c r="I217" s="32">
        <v>1.96</v>
      </c>
      <c r="J217" s="224"/>
      <c r="K217" s="224"/>
      <c r="L217" s="224"/>
      <c r="M217" s="226"/>
      <c r="N217" s="226"/>
      <c r="O217" s="226"/>
      <c r="P217" s="225">
        <f t="shared" si="92"/>
        <v>100</v>
      </c>
    </row>
    <row r="218" spans="1:16" ht="30" x14ac:dyDescent="0.25">
      <c r="A218" s="198">
        <v>206</v>
      </c>
      <c r="B218" s="199" t="s">
        <v>31</v>
      </c>
      <c r="C218" s="195" t="s">
        <v>158</v>
      </c>
      <c r="D218" s="195" t="s">
        <v>96</v>
      </c>
      <c r="E218" s="198">
        <v>8510076040</v>
      </c>
      <c r="F218" s="198"/>
      <c r="G218" s="32">
        <f>G219+G221</f>
        <v>745.5</v>
      </c>
      <c r="H218" s="32">
        <f>H219+H221</f>
        <v>745.5</v>
      </c>
      <c r="I218" s="32">
        <f>I219+I221</f>
        <v>732.04</v>
      </c>
      <c r="J218" s="224"/>
      <c r="K218" s="224"/>
      <c r="L218" s="224"/>
      <c r="M218" s="226"/>
      <c r="N218" s="226"/>
      <c r="O218" s="226"/>
      <c r="P218" s="225">
        <f t="shared" si="92"/>
        <v>98.194500335345396</v>
      </c>
    </row>
    <row r="219" spans="1:16" ht="45" x14ac:dyDescent="0.25">
      <c r="A219" s="198">
        <v>207</v>
      </c>
      <c r="B219" s="208" t="s">
        <v>16</v>
      </c>
      <c r="C219" s="195" t="s">
        <v>158</v>
      </c>
      <c r="D219" s="195" t="s">
        <v>96</v>
      </c>
      <c r="E219" s="198">
        <v>8510076040</v>
      </c>
      <c r="F219" s="198">
        <v>100</v>
      </c>
      <c r="G219" s="32">
        <f>G220</f>
        <v>687.82</v>
      </c>
      <c r="H219" s="32">
        <f t="shared" ref="H219:I219" si="97">H220</f>
        <v>687.82</v>
      </c>
      <c r="I219" s="32">
        <f t="shared" si="97"/>
        <v>674.36</v>
      </c>
      <c r="J219" s="224"/>
      <c r="K219" s="224"/>
      <c r="L219" s="224"/>
      <c r="M219" s="226"/>
      <c r="N219" s="226"/>
      <c r="O219" s="226"/>
      <c r="P219" s="225">
        <f t="shared" si="92"/>
        <v>98.043092669593776</v>
      </c>
    </row>
    <row r="220" spans="1:16" x14ac:dyDescent="0.25">
      <c r="A220" s="198">
        <v>208</v>
      </c>
      <c r="B220" s="208" t="s">
        <v>17</v>
      </c>
      <c r="C220" s="195" t="s">
        <v>158</v>
      </c>
      <c r="D220" s="195" t="s">
        <v>96</v>
      </c>
      <c r="E220" s="198">
        <v>8510076040</v>
      </c>
      <c r="F220" s="198">
        <v>120</v>
      </c>
      <c r="G220" s="32">
        <f>610.62+71.2+6</f>
        <v>687.82</v>
      </c>
      <c r="H220" s="32">
        <v>687.82</v>
      </c>
      <c r="I220" s="32">
        <v>674.36</v>
      </c>
      <c r="J220" s="224">
        <v>71.2</v>
      </c>
      <c r="K220" s="224">
        <v>122</v>
      </c>
      <c r="L220" s="224">
        <v>122</v>
      </c>
      <c r="M220" s="226"/>
      <c r="N220" s="226"/>
      <c r="O220" s="226"/>
      <c r="P220" s="225">
        <f t="shared" si="92"/>
        <v>98.043092669593776</v>
      </c>
    </row>
    <row r="221" spans="1:16" x14ac:dyDescent="0.25">
      <c r="A221" s="198">
        <v>209</v>
      </c>
      <c r="B221" s="208" t="s">
        <v>21</v>
      </c>
      <c r="C221" s="195" t="s">
        <v>158</v>
      </c>
      <c r="D221" s="195" t="s">
        <v>96</v>
      </c>
      <c r="E221" s="198">
        <v>8510076040</v>
      </c>
      <c r="F221" s="198">
        <v>200</v>
      </c>
      <c r="G221" s="32">
        <f>G222</f>
        <v>57.68</v>
      </c>
      <c r="H221" s="32">
        <f t="shared" ref="H221:I221" si="98">H222</f>
        <v>57.68</v>
      </c>
      <c r="I221" s="32">
        <f t="shared" si="98"/>
        <v>57.68</v>
      </c>
      <c r="J221" s="224"/>
      <c r="K221" s="224"/>
      <c r="L221" s="224"/>
      <c r="M221" s="226"/>
      <c r="N221" s="226"/>
      <c r="O221" s="226"/>
      <c r="P221" s="225">
        <f t="shared" si="92"/>
        <v>100</v>
      </c>
    </row>
    <row r="222" spans="1:16" x14ac:dyDescent="0.25">
      <c r="A222" s="198">
        <v>210</v>
      </c>
      <c r="B222" s="208" t="s">
        <v>22</v>
      </c>
      <c r="C222" s="195" t="s">
        <v>158</v>
      </c>
      <c r="D222" s="195" t="s">
        <v>96</v>
      </c>
      <c r="E222" s="198">
        <v>8510076040</v>
      </c>
      <c r="F222" s="198">
        <v>240</v>
      </c>
      <c r="G222" s="32">
        <v>57.68</v>
      </c>
      <c r="H222" s="32">
        <v>57.68</v>
      </c>
      <c r="I222" s="32">
        <v>57.68</v>
      </c>
      <c r="J222" s="224"/>
      <c r="K222" s="224"/>
      <c r="L222" s="224"/>
      <c r="M222" s="226"/>
      <c r="N222" s="226"/>
      <c r="O222" s="226"/>
      <c r="P222" s="225">
        <f t="shared" si="92"/>
        <v>100</v>
      </c>
    </row>
    <row r="223" spans="1:16" ht="45" x14ac:dyDescent="0.25">
      <c r="A223" s="198">
        <v>211</v>
      </c>
      <c r="B223" s="199" t="s">
        <v>38</v>
      </c>
      <c r="C223" s="195" t="s">
        <v>158</v>
      </c>
      <c r="D223" s="195" t="s">
        <v>96</v>
      </c>
      <c r="E223" s="198">
        <v>8510092020</v>
      </c>
      <c r="F223" s="198"/>
      <c r="G223" s="32">
        <f>G224</f>
        <v>8652.27</v>
      </c>
      <c r="H223" s="32">
        <f t="shared" ref="H223:I223" si="99">H224</f>
        <v>8652.27</v>
      </c>
      <c r="I223" s="32">
        <f t="shared" si="99"/>
        <v>8191.59</v>
      </c>
      <c r="J223" s="224"/>
      <c r="K223" s="224"/>
      <c r="L223" s="224"/>
      <c r="M223" s="226"/>
      <c r="N223" s="226"/>
      <c r="O223" s="226"/>
      <c r="P223" s="225">
        <f t="shared" si="92"/>
        <v>94.675616919028187</v>
      </c>
    </row>
    <row r="224" spans="1:16" x14ac:dyDescent="0.25">
      <c r="A224" s="198">
        <v>212</v>
      </c>
      <c r="B224" s="208" t="s">
        <v>33</v>
      </c>
      <c r="C224" s="195" t="s">
        <v>158</v>
      </c>
      <c r="D224" s="195" t="s">
        <v>96</v>
      </c>
      <c r="E224" s="198">
        <v>8510092020</v>
      </c>
      <c r="F224" s="198">
        <v>800</v>
      </c>
      <c r="G224" s="32">
        <f>G225</f>
        <v>8652.27</v>
      </c>
      <c r="H224" s="32">
        <f>H225+H226</f>
        <v>8652.27</v>
      </c>
      <c r="I224" s="32">
        <f>I225+I226</f>
        <v>8191.59</v>
      </c>
      <c r="J224" s="224"/>
      <c r="K224" s="224"/>
      <c r="L224" s="224"/>
      <c r="M224" s="226"/>
      <c r="N224" s="226"/>
      <c r="O224" s="226"/>
      <c r="P224" s="225">
        <f t="shared" si="92"/>
        <v>94.675616919028187</v>
      </c>
    </row>
    <row r="225" spans="1:16" x14ac:dyDescent="0.25">
      <c r="A225" s="198">
        <v>213</v>
      </c>
      <c r="B225" s="33" t="s">
        <v>39</v>
      </c>
      <c r="C225" s="195" t="s">
        <v>158</v>
      </c>
      <c r="D225" s="195" t="s">
        <v>96</v>
      </c>
      <c r="E225" s="198">
        <v>8510092020</v>
      </c>
      <c r="F225" s="198">
        <v>830</v>
      </c>
      <c r="G225" s="32">
        <f>1000+7702.27-50</f>
        <v>8652.27</v>
      </c>
      <c r="H225" s="32">
        <v>950</v>
      </c>
      <c r="I225" s="32">
        <v>489.32</v>
      </c>
      <c r="J225" s="224"/>
      <c r="K225" s="224"/>
      <c r="L225" s="224"/>
      <c r="M225" s="226"/>
      <c r="N225" s="226"/>
      <c r="O225" s="226"/>
      <c r="P225" s="225">
        <f t="shared" si="92"/>
        <v>51.507368421052632</v>
      </c>
    </row>
    <row r="226" spans="1:16" x14ac:dyDescent="0.25">
      <c r="A226" s="198">
        <v>214</v>
      </c>
      <c r="B226" s="33" t="s">
        <v>82</v>
      </c>
      <c r="C226" s="195" t="s">
        <v>158</v>
      </c>
      <c r="D226" s="195" t="s">
        <v>96</v>
      </c>
      <c r="E226" s="198">
        <v>8510092020</v>
      </c>
      <c r="F226" s="198">
        <v>850</v>
      </c>
      <c r="G226" s="32">
        <v>0</v>
      </c>
      <c r="H226" s="32">
        <v>7702.27</v>
      </c>
      <c r="I226" s="32">
        <v>7702.27</v>
      </c>
      <c r="J226" s="224"/>
      <c r="K226" s="224"/>
      <c r="L226" s="224"/>
      <c r="M226" s="226"/>
      <c r="N226" s="226"/>
      <c r="O226" s="226"/>
      <c r="P226" s="225">
        <f t="shared" si="92"/>
        <v>100</v>
      </c>
    </row>
    <row r="227" spans="1:16" ht="30" x14ac:dyDescent="0.25">
      <c r="A227" s="198">
        <v>215</v>
      </c>
      <c r="B227" s="199" t="s">
        <v>250</v>
      </c>
      <c r="C227" s="195" t="s">
        <v>158</v>
      </c>
      <c r="D227" s="195" t="s">
        <v>96</v>
      </c>
      <c r="E227" s="198" t="s">
        <v>272</v>
      </c>
      <c r="F227" s="198"/>
      <c r="G227" s="32">
        <f>G228</f>
        <v>195.2</v>
      </c>
      <c r="H227" s="32">
        <f t="shared" ref="H227:I228" si="100">H228</f>
        <v>195.2</v>
      </c>
      <c r="I227" s="32">
        <f t="shared" si="100"/>
        <v>195.1</v>
      </c>
      <c r="J227" s="224"/>
      <c r="K227" s="224"/>
      <c r="L227" s="224"/>
      <c r="M227" s="226"/>
      <c r="N227" s="226"/>
      <c r="O227" s="226"/>
      <c r="P227" s="225">
        <f t="shared" si="92"/>
        <v>99.948770491803288</v>
      </c>
    </row>
    <row r="228" spans="1:16" x14ac:dyDescent="0.25">
      <c r="A228" s="198">
        <v>216</v>
      </c>
      <c r="B228" s="208" t="s">
        <v>21</v>
      </c>
      <c r="C228" s="195" t="s">
        <v>158</v>
      </c>
      <c r="D228" s="195" t="s">
        <v>96</v>
      </c>
      <c r="E228" s="198" t="s">
        <v>272</v>
      </c>
      <c r="F228" s="198">
        <v>200</v>
      </c>
      <c r="G228" s="32">
        <f>G229</f>
        <v>195.2</v>
      </c>
      <c r="H228" s="32">
        <f t="shared" si="100"/>
        <v>195.2</v>
      </c>
      <c r="I228" s="32">
        <f t="shared" si="100"/>
        <v>195.1</v>
      </c>
      <c r="J228" s="224"/>
      <c r="K228" s="224"/>
      <c r="L228" s="224"/>
      <c r="M228" s="226"/>
      <c r="N228" s="226"/>
      <c r="O228" s="226"/>
      <c r="P228" s="225">
        <f t="shared" si="92"/>
        <v>99.948770491803288</v>
      </c>
    </row>
    <row r="229" spans="1:16" x14ac:dyDescent="0.25">
      <c r="A229" s="198">
        <v>217</v>
      </c>
      <c r="B229" s="208" t="s">
        <v>22</v>
      </c>
      <c r="C229" s="195" t="s">
        <v>158</v>
      </c>
      <c r="D229" s="195" t="s">
        <v>96</v>
      </c>
      <c r="E229" s="198" t="s">
        <v>272</v>
      </c>
      <c r="F229" s="198">
        <v>240</v>
      </c>
      <c r="G229" s="32">
        <f>174.2+26-5</f>
        <v>195.2</v>
      </c>
      <c r="H229" s="32">
        <v>195.2</v>
      </c>
      <c r="I229" s="32">
        <v>195.1</v>
      </c>
      <c r="J229" s="224">
        <v>-5</v>
      </c>
      <c r="K229" s="224"/>
      <c r="L229" s="224"/>
      <c r="M229" s="226"/>
      <c r="N229" s="226"/>
      <c r="O229" s="226"/>
      <c r="P229" s="225">
        <f t="shared" si="92"/>
        <v>99.948770491803288</v>
      </c>
    </row>
    <row r="230" spans="1:16" x14ac:dyDescent="0.25">
      <c r="A230" s="198">
        <v>218</v>
      </c>
      <c r="B230" s="203" t="s">
        <v>476</v>
      </c>
      <c r="C230" s="195" t="s">
        <v>158</v>
      </c>
      <c r="D230" s="195" t="s">
        <v>96</v>
      </c>
      <c r="E230" s="198">
        <v>8510084570</v>
      </c>
      <c r="F230" s="198"/>
      <c r="G230" s="32">
        <f>G231</f>
        <v>46.67</v>
      </c>
      <c r="H230" s="32">
        <f t="shared" ref="H230:I231" si="101">H231</f>
        <v>46.67</v>
      </c>
      <c r="I230" s="32">
        <f t="shared" si="101"/>
        <v>46.67</v>
      </c>
      <c r="J230" s="224"/>
      <c r="K230" s="224"/>
      <c r="L230" s="224"/>
      <c r="M230" s="226"/>
      <c r="N230" s="226"/>
      <c r="O230" s="226"/>
      <c r="P230" s="225">
        <f t="shared" si="92"/>
        <v>100</v>
      </c>
    </row>
    <row r="231" spans="1:16" x14ac:dyDescent="0.25">
      <c r="A231" s="198">
        <v>219</v>
      </c>
      <c r="B231" s="208" t="s">
        <v>21</v>
      </c>
      <c r="C231" s="195" t="s">
        <v>158</v>
      </c>
      <c r="D231" s="195" t="s">
        <v>96</v>
      </c>
      <c r="E231" s="198">
        <v>8510084570</v>
      </c>
      <c r="F231" s="198">
        <v>200</v>
      </c>
      <c r="G231" s="32">
        <f>G232</f>
        <v>46.67</v>
      </c>
      <c r="H231" s="32">
        <f t="shared" si="101"/>
        <v>46.67</v>
      </c>
      <c r="I231" s="32">
        <f t="shared" si="101"/>
        <v>46.67</v>
      </c>
      <c r="J231" s="224"/>
      <c r="K231" s="224"/>
      <c r="L231" s="224"/>
      <c r="M231" s="226"/>
      <c r="N231" s="226"/>
      <c r="O231" s="226"/>
      <c r="P231" s="225">
        <f t="shared" si="92"/>
        <v>100</v>
      </c>
    </row>
    <row r="232" spans="1:16" x14ac:dyDescent="0.25">
      <c r="A232" s="198">
        <v>220</v>
      </c>
      <c r="B232" s="208" t="s">
        <v>22</v>
      </c>
      <c r="C232" s="195" t="s">
        <v>158</v>
      </c>
      <c r="D232" s="195" t="s">
        <v>96</v>
      </c>
      <c r="E232" s="198">
        <v>8510084570</v>
      </c>
      <c r="F232" s="198">
        <v>240</v>
      </c>
      <c r="G232" s="32">
        <f>35.72+10.95</f>
        <v>46.67</v>
      </c>
      <c r="H232" s="32">
        <v>46.67</v>
      </c>
      <c r="I232" s="32">
        <v>46.67</v>
      </c>
      <c r="J232" s="224">
        <v>10.95</v>
      </c>
      <c r="K232" s="224">
        <v>21.9</v>
      </c>
      <c r="L232" s="224">
        <v>21.9</v>
      </c>
      <c r="M232" s="226"/>
      <c r="N232" s="226"/>
      <c r="O232" s="226"/>
      <c r="P232" s="225">
        <f t="shared" si="92"/>
        <v>100</v>
      </c>
    </row>
    <row r="233" spans="1:16" ht="30" x14ac:dyDescent="0.25">
      <c r="A233" s="198">
        <v>221</v>
      </c>
      <c r="B233" s="203" t="s">
        <v>574</v>
      </c>
      <c r="C233" s="195" t="s">
        <v>158</v>
      </c>
      <c r="D233" s="195" t="s">
        <v>96</v>
      </c>
      <c r="E233" s="198">
        <v>8510084580</v>
      </c>
      <c r="F233" s="198"/>
      <c r="G233" s="32">
        <f>G234</f>
        <v>145</v>
      </c>
      <c r="H233" s="32">
        <f t="shared" ref="H233:I234" si="102">H234</f>
        <v>145</v>
      </c>
      <c r="I233" s="32">
        <f t="shared" si="102"/>
        <v>145</v>
      </c>
      <c r="J233" s="224"/>
      <c r="K233" s="224"/>
      <c r="L233" s="224"/>
      <c r="M233" s="226"/>
      <c r="N233" s="226"/>
      <c r="O233" s="226"/>
      <c r="P233" s="225">
        <f t="shared" si="92"/>
        <v>100</v>
      </c>
    </row>
    <row r="234" spans="1:16" x14ac:dyDescent="0.25">
      <c r="A234" s="198">
        <v>222</v>
      </c>
      <c r="B234" s="208" t="s">
        <v>21</v>
      </c>
      <c r="C234" s="195" t="s">
        <v>158</v>
      </c>
      <c r="D234" s="195" t="s">
        <v>96</v>
      </c>
      <c r="E234" s="198">
        <v>8510084580</v>
      </c>
      <c r="F234" s="198">
        <v>200</v>
      </c>
      <c r="G234" s="32">
        <f>G235</f>
        <v>145</v>
      </c>
      <c r="H234" s="32">
        <f t="shared" si="102"/>
        <v>145</v>
      </c>
      <c r="I234" s="32">
        <f t="shared" si="102"/>
        <v>145</v>
      </c>
      <c r="J234" s="224"/>
      <c r="K234" s="224"/>
      <c r="L234" s="224"/>
      <c r="M234" s="226"/>
      <c r="N234" s="226"/>
      <c r="O234" s="226"/>
      <c r="P234" s="225">
        <f t="shared" si="92"/>
        <v>100</v>
      </c>
    </row>
    <row r="235" spans="1:16" x14ac:dyDescent="0.25">
      <c r="A235" s="198">
        <v>223</v>
      </c>
      <c r="B235" s="208" t="s">
        <v>22</v>
      </c>
      <c r="C235" s="195" t="s">
        <v>158</v>
      </c>
      <c r="D235" s="195" t="s">
        <v>96</v>
      </c>
      <c r="E235" s="198">
        <v>8510084580</v>
      </c>
      <c r="F235" s="198">
        <v>240</v>
      </c>
      <c r="G235" s="32">
        <v>145</v>
      </c>
      <c r="H235" s="32">
        <v>145</v>
      </c>
      <c r="I235" s="32">
        <v>145</v>
      </c>
      <c r="J235" s="224"/>
      <c r="K235" s="224"/>
      <c r="L235" s="224"/>
      <c r="M235" s="226"/>
      <c r="N235" s="226"/>
      <c r="O235" s="226"/>
      <c r="P235" s="225">
        <f t="shared" si="92"/>
        <v>100</v>
      </c>
    </row>
    <row r="236" spans="1:16" ht="30" x14ac:dyDescent="0.25">
      <c r="A236" s="198">
        <v>224</v>
      </c>
      <c r="B236" s="197" t="s">
        <v>273</v>
      </c>
      <c r="C236" s="195" t="s">
        <v>158</v>
      </c>
      <c r="D236" s="195" t="s">
        <v>96</v>
      </c>
      <c r="E236" s="198">
        <v>1100000000</v>
      </c>
      <c r="F236" s="198"/>
      <c r="G236" s="32">
        <f>G237</f>
        <v>735.1</v>
      </c>
      <c r="H236" s="32">
        <f t="shared" ref="H236:I236" si="103">H237</f>
        <v>735.1</v>
      </c>
      <c r="I236" s="32">
        <f t="shared" si="103"/>
        <v>728.61</v>
      </c>
      <c r="J236" s="224"/>
      <c r="K236" s="224"/>
      <c r="L236" s="224"/>
      <c r="M236" s="226"/>
      <c r="N236" s="226"/>
      <c r="O236" s="226"/>
      <c r="P236" s="225">
        <f t="shared" si="92"/>
        <v>99.117126921507278</v>
      </c>
    </row>
    <row r="237" spans="1:16" x14ac:dyDescent="0.25">
      <c r="A237" s="198">
        <v>225</v>
      </c>
      <c r="B237" s="197" t="s">
        <v>40</v>
      </c>
      <c r="C237" s="195" t="s">
        <v>158</v>
      </c>
      <c r="D237" s="195" t="s">
        <v>96</v>
      </c>
      <c r="E237" s="198">
        <v>1190000000</v>
      </c>
      <c r="F237" s="198"/>
      <c r="G237" s="32">
        <f>G238</f>
        <v>735.1</v>
      </c>
      <c r="H237" s="32">
        <f t="shared" ref="H237:I237" si="104">H238</f>
        <v>735.1</v>
      </c>
      <c r="I237" s="32">
        <f t="shared" si="104"/>
        <v>728.61</v>
      </c>
      <c r="J237" s="224"/>
      <c r="K237" s="224"/>
      <c r="L237" s="224"/>
      <c r="M237" s="226"/>
      <c r="N237" s="226"/>
      <c r="O237" s="226"/>
      <c r="P237" s="225">
        <f t="shared" si="92"/>
        <v>99.117126921507278</v>
      </c>
    </row>
    <row r="238" spans="1:16" ht="30" x14ac:dyDescent="0.25">
      <c r="A238" s="198">
        <v>226</v>
      </c>
      <c r="B238" s="199" t="s">
        <v>274</v>
      </c>
      <c r="C238" s="195" t="s">
        <v>158</v>
      </c>
      <c r="D238" s="195" t="s">
        <v>96</v>
      </c>
      <c r="E238" s="198">
        <v>1190074670</v>
      </c>
      <c r="F238" s="198"/>
      <c r="G238" s="32">
        <f>G239+G241</f>
        <v>735.1</v>
      </c>
      <c r="H238" s="32">
        <f>H239+H241</f>
        <v>735.1</v>
      </c>
      <c r="I238" s="32">
        <f>I239+I241</f>
        <v>728.61</v>
      </c>
      <c r="J238" s="224"/>
      <c r="K238" s="224"/>
      <c r="L238" s="224"/>
      <c r="M238" s="226"/>
      <c r="N238" s="226"/>
      <c r="O238" s="226"/>
      <c r="P238" s="225">
        <f t="shared" si="92"/>
        <v>99.117126921507278</v>
      </c>
    </row>
    <row r="239" spans="1:16" ht="45" x14ac:dyDescent="0.25">
      <c r="A239" s="198">
        <v>227</v>
      </c>
      <c r="B239" s="208" t="s">
        <v>16</v>
      </c>
      <c r="C239" s="195" t="s">
        <v>158</v>
      </c>
      <c r="D239" s="195" t="s">
        <v>96</v>
      </c>
      <c r="E239" s="198">
        <v>1190074670</v>
      </c>
      <c r="F239" s="198">
        <v>100</v>
      </c>
      <c r="G239" s="32">
        <f>G240</f>
        <v>687.32</v>
      </c>
      <c r="H239" s="32">
        <f t="shared" ref="H239:I239" si="105">H240</f>
        <v>687.32</v>
      </c>
      <c r="I239" s="32">
        <f t="shared" si="105"/>
        <v>680.83</v>
      </c>
      <c r="J239" s="224"/>
      <c r="K239" s="224"/>
      <c r="L239" s="224"/>
      <c r="M239" s="226"/>
      <c r="N239" s="226"/>
      <c r="O239" s="226"/>
      <c r="P239" s="225">
        <f t="shared" si="92"/>
        <v>99.055752778909394</v>
      </c>
    </row>
    <row r="240" spans="1:16" x14ac:dyDescent="0.25">
      <c r="A240" s="198">
        <v>228</v>
      </c>
      <c r="B240" s="208" t="s">
        <v>17</v>
      </c>
      <c r="C240" s="195" t="s">
        <v>158</v>
      </c>
      <c r="D240" s="195" t="s">
        <v>96</v>
      </c>
      <c r="E240" s="198">
        <v>1190074670</v>
      </c>
      <c r="F240" s="198">
        <v>120</v>
      </c>
      <c r="G240" s="32">
        <f>610.62+71.2+5.5</f>
        <v>687.32</v>
      </c>
      <c r="H240" s="32">
        <v>687.32</v>
      </c>
      <c r="I240" s="32">
        <v>680.83</v>
      </c>
      <c r="J240" s="224">
        <v>71.2</v>
      </c>
      <c r="K240" s="224">
        <v>122.1</v>
      </c>
      <c r="L240" s="224">
        <v>122.1</v>
      </c>
      <c r="M240" s="226"/>
      <c r="N240" s="226"/>
      <c r="O240" s="226"/>
      <c r="P240" s="225">
        <f t="shared" si="92"/>
        <v>99.055752778909394</v>
      </c>
    </row>
    <row r="241" spans="1:16" x14ac:dyDescent="0.25">
      <c r="A241" s="198">
        <v>229</v>
      </c>
      <c r="B241" s="208" t="s">
        <v>21</v>
      </c>
      <c r="C241" s="195" t="s">
        <v>158</v>
      </c>
      <c r="D241" s="195" t="s">
        <v>96</v>
      </c>
      <c r="E241" s="198">
        <v>1190074670</v>
      </c>
      <c r="F241" s="198">
        <v>200</v>
      </c>
      <c r="G241" s="32">
        <f>G242</f>
        <v>47.78</v>
      </c>
      <c r="H241" s="32">
        <f t="shared" ref="H241:I241" si="106">H242</f>
        <v>47.78</v>
      </c>
      <c r="I241" s="32">
        <f t="shared" si="106"/>
        <v>47.78</v>
      </c>
      <c r="J241" s="224"/>
      <c r="K241" s="224"/>
      <c r="L241" s="224"/>
      <c r="M241" s="226"/>
      <c r="N241" s="226"/>
      <c r="O241" s="226"/>
      <c r="P241" s="225">
        <f t="shared" si="92"/>
        <v>100</v>
      </c>
    </row>
    <row r="242" spans="1:16" x14ac:dyDescent="0.25">
      <c r="A242" s="198">
        <v>230</v>
      </c>
      <c r="B242" s="208" t="s">
        <v>22</v>
      </c>
      <c r="C242" s="195" t="s">
        <v>158</v>
      </c>
      <c r="D242" s="195" t="s">
        <v>96</v>
      </c>
      <c r="E242" s="198">
        <v>1190074670</v>
      </c>
      <c r="F242" s="198">
        <v>240</v>
      </c>
      <c r="G242" s="32">
        <v>47.78</v>
      </c>
      <c r="H242" s="32">
        <v>47.78</v>
      </c>
      <c r="I242" s="32">
        <v>47.78</v>
      </c>
      <c r="J242" s="224"/>
      <c r="K242" s="224"/>
      <c r="L242" s="224"/>
      <c r="M242" s="226"/>
      <c r="N242" s="226"/>
      <c r="O242" s="226"/>
      <c r="P242" s="225">
        <f t="shared" si="92"/>
        <v>100</v>
      </c>
    </row>
    <row r="243" spans="1:16" x14ac:dyDescent="0.25">
      <c r="A243" s="198">
        <v>231</v>
      </c>
      <c r="B243" s="65" t="s">
        <v>100</v>
      </c>
      <c r="C243" s="195" t="s">
        <v>158</v>
      </c>
      <c r="D243" s="195" t="s">
        <v>101</v>
      </c>
      <c r="E243" s="198"/>
      <c r="F243" s="198"/>
      <c r="G243" s="32">
        <f t="shared" ref="G243:I248" si="107">G244</f>
        <v>592.77</v>
      </c>
      <c r="H243" s="32">
        <f t="shared" si="107"/>
        <v>592.77</v>
      </c>
      <c r="I243" s="32">
        <f t="shared" si="107"/>
        <v>422.48</v>
      </c>
      <c r="J243" s="224"/>
      <c r="K243" s="224"/>
      <c r="L243" s="224"/>
      <c r="M243" s="226"/>
      <c r="N243" s="226"/>
      <c r="O243" s="226"/>
      <c r="P243" s="225">
        <f t="shared" si="92"/>
        <v>71.272162896232942</v>
      </c>
    </row>
    <row r="244" spans="1:16" ht="30" x14ac:dyDescent="0.25">
      <c r="A244" s="198">
        <v>232</v>
      </c>
      <c r="B244" s="208" t="s">
        <v>76</v>
      </c>
      <c r="C244" s="195" t="s">
        <v>158</v>
      </c>
      <c r="D244" s="195" t="s">
        <v>102</v>
      </c>
      <c r="E244" s="198"/>
      <c r="F244" s="198"/>
      <c r="G244" s="32">
        <f t="shared" si="107"/>
        <v>592.77</v>
      </c>
      <c r="H244" s="32">
        <f t="shared" si="107"/>
        <v>592.77</v>
      </c>
      <c r="I244" s="32">
        <f t="shared" si="107"/>
        <v>422.48</v>
      </c>
      <c r="J244" s="224"/>
      <c r="K244" s="224"/>
      <c r="L244" s="224"/>
      <c r="M244" s="226"/>
      <c r="N244" s="226"/>
      <c r="O244" s="226"/>
      <c r="P244" s="225">
        <f t="shared" si="92"/>
        <v>71.272162896232942</v>
      </c>
    </row>
    <row r="245" spans="1:16" x14ac:dyDescent="0.25">
      <c r="A245" s="198">
        <v>233</v>
      </c>
      <c r="B245" s="203" t="s">
        <v>264</v>
      </c>
      <c r="C245" s="195" t="s">
        <v>158</v>
      </c>
      <c r="D245" s="195" t="s">
        <v>102</v>
      </c>
      <c r="E245" s="198">
        <v>8500000000</v>
      </c>
      <c r="F245" s="198"/>
      <c r="G245" s="32">
        <f t="shared" si="107"/>
        <v>592.77</v>
      </c>
      <c r="H245" s="32">
        <f t="shared" si="107"/>
        <v>592.77</v>
      </c>
      <c r="I245" s="32">
        <f t="shared" si="107"/>
        <v>422.48</v>
      </c>
      <c r="J245" s="224"/>
      <c r="K245" s="224"/>
      <c r="L245" s="224"/>
      <c r="M245" s="226"/>
      <c r="N245" s="226"/>
      <c r="O245" s="226"/>
      <c r="P245" s="225">
        <f t="shared" si="92"/>
        <v>71.272162896232942</v>
      </c>
    </row>
    <row r="246" spans="1:16" x14ac:dyDescent="0.25">
      <c r="A246" s="198">
        <v>234</v>
      </c>
      <c r="B246" s="203" t="s">
        <v>265</v>
      </c>
      <c r="C246" s="195" t="s">
        <v>158</v>
      </c>
      <c r="D246" s="195" t="s">
        <v>102</v>
      </c>
      <c r="E246" s="198">
        <v>8510000000</v>
      </c>
      <c r="F246" s="198"/>
      <c r="G246" s="32">
        <f>G247+G250</f>
        <v>592.77</v>
      </c>
      <c r="H246" s="32">
        <f t="shared" ref="H246:I246" si="108">H247+H250</f>
        <v>592.77</v>
      </c>
      <c r="I246" s="32">
        <f t="shared" si="108"/>
        <v>422.48</v>
      </c>
      <c r="J246" s="224"/>
      <c r="K246" s="224"/>
      <c r="L246" s="224"/>
      <c r="M246" s="226"/>
      <c r="N246" s="226"/>
      <c r="O246" s="226"/>
      <c r="P246" s="225">
        <f t="shared" si="92"/>
        <v>71.272162896232942</v>
      </c>
    </row>
    <row r="247" spans="1:16" ht="60" x14ac:dyDescent="0.25">
      <c r="A247" s="198">
        <v>235</v>
      </c>
      <c r="B247" s="203" t="s">
        <v>545</v>
      </c>
      <c r="C247" s="195" t="s">
        <v>158</v>
      </c>
      <c r="D247" s="195" t="s">
        <v>102</v>
      </c>
      <c r="E247" s="198" t="s">
        <v>542</v>
      </c>
      <c r="F247" s="198"/>
      <c r="G247" s="32">
        <f t="shared" si="107"/>
        <v>170.2</v>
      </c>
      <c r="H247" s="32">
        <f t="shared" ref="H247:I248" si="109">H248</f>
        <v>170.2</v>
      </c>
      <c r="I247" s="32">
        <f t="shared" si="109"/>
        <v>0</v>
      </c>
      <c r="J247" s="224"/>
      <c r="K247" s="224"/>
      <c r="L247" s="224"/>
      <c r="M247" s="226"/>
      <c r="N247" s="226"/>
      <c r="O247" s="226"/>
      <c r="P247" s="225">
        <f t="shared" si="92"/>
        <v>0</v>
      </c>
    </row>
    <row r="248" spans="1:16" x14ac:dyDescent="0.25">
      <c r="A248" s="198">
        <v>236</v>
      </c>
      <c r="B248" s="208" t="s">
        <v>21</v>
      </c>
      <c r="C248" s="195" t="s">
        <v>158</v>
      </c>
      <c r="D248" s="195" t="s">
        <v>102</v>
      </c>
      <c r="E248" s="198" t="s">
        <v>542</v>
      </c>
      <c r="F248" s="198">
        <v>200</v>
      </c>
      <c r="G248" s="32">
        <f t="shared" si="107"/>
        <v>170.2</v>
      </c>
      <c r="H248" s="32">
        <f t="shared" si="109"/>
        <v>170.2</v>
      </c>
      <c r="I248" s="32">
        <f t="shared" si="109"/>
        <v>0</v>
      </c>
      <c r="J248" s="224"/>
      <c r="K248" s="224"/>
      <c r="L248" s="224"/>
      <c r="M248" s="226"/>
      <c r="N248" s="226"/>
      <c r="O248" s="226"/>
      <c r="P248" s="225">
        <f t="shared" si="92"/>
        <v>0</v>
      </c>
    </row>
    <row r="249" spans="1:16" x14ac:dyDescent="0.25">
      <c r="A249" s="198">
        <v>237</v>
      </c>
      <c r="B249" s="208" t="s">
        <v>22</v>
      </c>
      <c r="C249" s="195" t="s">
        <v>158</v>
      </c>
      <c r="D249" s="195" t="s">
        <v>102</v>
      </c>
      <c r="E249" s="198" t="s">
        <v>542</v>
      </c>
      <c r="F249" s="198">
        <v>240</v>
      </c>
      <c r="G249" s="32">
        <v>170.2</v>
      </c>
      <c r="H249" s="32">
        <v>170.2</v>
      </c>
      <c r="I249" s="32">
        <v>0</v>
      </c>
      <c r="J249" s="224">
        <v>170.2</v>
      </c>
      <c r="K249" s="224"/>
      <c r="L249" s="224"/>
      <c r="M249" s="226"/>
      <c r="N249" s="226"/>
      <c r="O249" s="226"/>
      <c r="P249" s="225">
        <f t="shared" si="92"/>
        <v>0</v>
      </c>
    </row>
    <row r="250" spans="1:16" ht="30" x14ac:dyDescent="0.25">
      <c r="A250" s="198">
        <v>238</v>
      </c>
      <c r="B250" s="203" t="s">
        <v>554</v>
      </c>
      <c r="C250" s="195"/>
      <c r="D250" s="195"/>
      <c r="E250" s="198">
        <v>8510000270</v>
      </c>
      <c r="F250" s="198"/>
      <c r="G250" s="32">
        <f>G251</f>
        <v>422.57</v>
      </c>
      <c r="H250" s="32">
        <f t="shared" ref="H250:I251" si="110">H251</f>
        <v>422.57</v>
      </c>
      <c r="I250" s="32">
        <f t="shared" si="110"/>
        <v>422.48</v>
      </c>
      <c r="J250" s="224"/>
      <c r="K250" s="224"/>
      <c r="L250" s="224"/>
      <c r="M250" s="226"/>
      <c r="N250" s="226"/>
      <c r="O250" s="226"/>
      <c r="P250" s="225">
        <f t="shared" si="92"/>
        <v>99.978701753555626</v>
      </c>
    </row>
    <row r="251" spans="1:16" x14ac:dyDescent="0.25">
      <c r="A251" s="198">
        <v>239</v>
      </c>
      <c r="B251" s="208" t="s">
        <v>21</v>
      </c>
      <c r="C251" s="195" t="s">
        <v>158</v>
      </c>
      <c r="D251" s="195" t="s">
        <v>102</v>
      </c>
      <c r="E251" s="198">
        <v>8510000270</v>
      </c>
      <c r="F251" s="198">
        <v>200</v>
      </c>
      <c r="G251" s="32">
        <f>G252</f>
        <v>422.57</v>
      </c>
      <c r="H251" s="32">
        <f t="shared" si="110"/>
        <v>422.57</v>
      </c>
      <c r="I251" s="32">
        <f t="shared" si="110"/>
        <v>422.48</v>
      </c>
      <c r="J251" s="224"/>
      <c r="K251" s="224"/>
      <c r="L251" s="224"/>
      <c r="M251" s="226"/>
      <c r="N251" s="226"/>
      <c r="O251" s="226"/>
      <c r="P251" s="225">
        <f t="shared" si="92"/>
        <v>99.978701753555626</v>
      </c>
    </row>
    <row r="252" spans="1:16" x14ac:dyDescent="0.25">
      <c r="A252" s="198">
        <v>240</v>
      </c>
      <c r="B252" s="208" t="s">
        <v>22</v>
      </c>
      <c r="C252" s="195" t="s">
        <v>158</v>
      </c>
      <c r="D252" s="195" t="s">
        <v>102</v>
      </c>
      <c r="E252" s="198">
        <v>8510000270</v>
      </c>
      <c r="F252" s="198">
        <v>240</v>
      </c>
      <c r="G252" s="32">
        <v>422.57</v>
      </c>
      <c r="H252" s="32">
        <v>422.57</v>
      </c>
      <c r="I252" s="32">
        <v>422.48</v>
      </c>
      <c r="J252" s="224">
        <v>422.57</v>
      </c>
      <c r="K252" s="224"/>
      <c r="L252" s="224"/>
      <c r="M252" s="226"/>
      <c r="N252" s="226"/>
      <c r="O252" s="226"/>
      <c r="P252" s="225">
        <f t="shared" si="92"/>
        <v>99.978701753555626</v>
      </c>
    </row>
    <row r="253" spans="1:16" x14ac:dyDescent="0.25">
      <c r="A253" s="198">
        <v>241</v>
      </c>
      <c r="B253" s="62" t="s">
        <v>103</v>
      </c>
      <c r="C253" s="195" t="s">
        <v>158</v>
      </c>
      <c r="D253" s="195" t="s">
        <v>104</v>
      </c>
      <c r="E253" s="198"/>
      <c r="F253" s="198"/>
      <c r="G253" s="32">
        <f>G254+G262+G303+G274+G297</f>
        <v>42753.05672</v>
      </c>
      <c r="H253" s="32">
        <f t="shared" ref="H253:I253" si="111">H254+H262+H303+H274+H297</f>
        <v>43355.4</v>
      </c>
      <c r="I253" s="32">
        <f t="shared" si="111"/>
        <v>41242.04</v>
      </c>
      <c r="J253" s="224"/>
      <c r="K253" s="224"/>
      <c r="L253" s="224"/>
      <c r="M253" s="226"/>
      <c r="N253" s="226"/>
      <c r="O253" s="226"/>
      <c r="P253" s="225">
        <f t="shared" si="92"/>
        <v>95.125497631206258</v>
      </c>
    </row>
    <row r="254" spans="1:16" x14ac:dyDescent="0.25">
      <c r="A254" s="198">
        <v>242</v>
      </c>
      <c r="B254" s="197" t="s">
        <v>42</v>
      </c>
      <c r="C254" s="195" t="s">
        <v>158</v>
      </c>
      <c r="D254" s="195" t="s">
        <v>107</v>
      </c>
      <c r="E254" s="198"/>
      <c r="F254" s="198"/>
      <c r="G254" s="32">
        <f>G255</f>
        <v>774.6</v>
      </c>
      <c r="H254" s="32">
        <f t="shared" ref="H254:I254" si="112">H255</f>
        <v>774.6</v>
      </c>
      <c r="I254" s="32">
        <f t="shared" si="112"/>
        <v>761.9</v>
      </c>
      <c r="J254" s="224"/>
      <c r="K254" s="224"/>
      <c r="L254" s="224"/>
      <c r="M254" s="226"/>
      <c r="N254" s="226"/>
      <c r="O254" s="226"/>
      <c r="P254" s="225">
        <f t="shared" si="92"/>
        <v>98.360444100180729</v>
      </c>
    </row>
    <row r="255" spans="1:16" ht="30" x14ac:dyDescent="0.25">
      <c r="A255" s="198">
        <v>243</v>
      </c>
      <c r="B255" s="33" t="s">
        <v>417</v>
      </c>
      <c r="C255" s="195" t="s">
        <v>158</v>
      </c>
      <c r="D255" s="195" t="s">
        <v>107</v>
      </c>
      <c r="E255" s="195" t="s">
        <v>185</v>
      </c>
      <c r="F255" s="198"/>
      <c r="G255" s="32">
        <f>G256</f>
        <v>774.6</v>
      </c>
      <c r="H255" s="32">
        <f t="shared" ref="H255:I255" si="113">H256</f>
        <v>774.6</v>
      </c>
      <c r="I255" s="32">
        <f t="shared" si="113"/>
        <v>761.9</v>
      </c>
      <c r="J255" s="224"/>
      <c r="K255" s="224"/>
      <c r="L255" s="224"/>
      <c r="M255" s="226"/>
      <c r="N255" s="226"/>
      <c r="O255" s="226"/>
      <c r="P255" s="225">
        <f t="shared" si="92"/>
        <v>98.360444100180729</v>
      </c>
    </row>
    <row r="256" spans="1:16" x14ac:dyDescent="0.25">
      <c r="A256" s="198">
        <v>244</v>
      </c>
      <c r="B256" s="33" t="s">
        <v>275</v>
      </c>
      <c r="C256" s="195" t="s">
        <v>158</v>
      </c>
      <c r="D256" s="195" t="s">
        <v>107</v>
      </c>
      <c r="E256" s="195" t="s">
        <v>418</v>
      </c>
      <c r="F256" s="198"/>
      <c r="G256" s="32">
        <f>G257</f>
        <v>774.6</v>
      </c>
      <c r="H256" s="32">
        <f t="shared" ref="H256:I256" si="114">H257</f>
        <v>774.6</v>
      </c>
      <c r="I256" s="32">
        <f t="shared" si="114"/>
        <v>761.9</v>
      </c>
      <c r="J256" s="224"/>
      <c r="K256" s="224"/>
      <c r="L256" s="224"/>
      <c r="M256" s="226"/>
      <c r="N256" s="226"/>
      <c r="O256" s="226"/>
      <c r="P256" s="225">
        <f t="shared" si="92"/>
        <v>98.360444100180729</v>
      </c>
    </row>
    <row r="257" spans="1:16" ht="30" x14ac:dyDescent="0.25">
      <c r="A257" s="198">
        <v>245</v>
      </c>
      <c r="B257" s="201" t="s">
        <v>43</v>
      </c>
      <c r="C257" s="195" t="s">
        <v>158</v>
      </c>
      <c r="D257" s="195" t="s">
        <v>107</v>
      </c>
      <c r="E257" s="195" t="s">
        <v>419</v>
      </c>
      <c r="F257" s="198"/>
      <c r="G257" s="32">
        <f>G258+G260</f>
        <v>774.6</v>
      </c>
      <c r="H257" s="32">
        <f t="shared" ref="H257:I257" si="115">H258+H260</f>
        <v>774.6</v>
      </c>
      <c r="I257" s="32">
        <f t="shared" si="115"/>
        <v>761.9</v>
      </c>
      <c r="J257" s="224"/>
      <c r="K257" s="224"/>
      <c r="L257" s="224"/>
      <c r="M257" s="226"/>
      <c r="N257" s="226"/>
      <c r="O257" s="226"/>
      <c r="P257" s="225">
        <f t="shared" si="92"/>
        <v>98.360444100180729</v>
      </c>
    </row>
    <row r="258" spans="1:16" ht="45" x14ac:dyDescent="0.25">
      <c r="A258" s="198">
        <v>246</v>
      </c>
      <c r="B258" s="208" t="s">
        <v>16</v>
      </c>
      <c r="C258" s="195" t="s">
        <v>158</v>
      </c>
      <c r="D258" s="195" t="s">
        <v>107</v>
      </c>
      <c r="E258" s="195" t="s">
        <v>419</v>
      </c>
      <c r="F258" s="198">
        <v>100</v>
      </c>
      <c r="G258" s="32">
        <f>G259</f>
        <v>702.6</v>
      </c>
      <c r="H258" s="32">
        <f t="shared" ref="H258:I258" si="116">H259</f>
        <v>702.6</v>
      </c>
      <c r="I258" s="32">
        <f t="shared" si="116"/>
        <v>689.9</v>
      </c>
      <c r="J258" s="224"/>
      <c r="K258" s="224"/>
      <c r="L258" s="224"/>
      <c r="M258" s="226"/>
      <c r="N258" s="226"/>
      <c r="O258" s="226"/>
      <c r="P258" s="225">
        <f t="shared" si="92"/>
        <v>98.19242812411045</v>
      </c>
    </row>
    <row r="259" spans="1:16" x14ac:dyDescent="0.25">
      <c r="A259" s="198">
        <v>247</v>
      </c>
      <c r="B259" s="208" t="s">
        <v>17</v>
      </c>
      <c r="C259" s="195" t="s">
        <v>158</v>
      </c>
      <c r="D259" s="195" t="s">
        <v>107</v>
      </c>
      <c r="E259" s="195" t="s">
        <v>419</v>
      </c>
      <c r="F259" s="198">
        <v>120</v>
      </c>
      <c r="G259" s="32">
        <f>610.62+15.28+71.2+5.5</f>
        <v>702.6</v>
      </c>
      <c r="H259" s="32">
        <v>702.6</v>
      </c>
      <c r="I259" s="32">
        <v>689.9</v>
      </c>
      <c r="J259" s="224">
        <v>71.2</v>
      </c>
      <c r="K259" s="224">
        <v>122.1</v>
      </c>
      <c r="L259" s="224">
        <v>122.1</v>
      </c>
      <c r="M259" s="226"/>
      <c r="N259" s="226"/>
      <c r="O259" s="226"/>
      <c r="P259" s="225">
        <f t="shared" si="92"/>
        <v>98.19242812411045</v>
      </c>
    </row>
    <row r="260" spans="1:16" x14ac:dyDescent="0.25">
      <c r="A260" s="198">
        <v>248</v>
      </c>
      <c r="B260" s="208" t="s">
        <v>21</v>
      </c>
      <c r="C260" s="195" t="s">
        <v>158</v>
      </c>
      <c r="D260" s="195" t="s">
        <v>107</v>
      </c>
      <c r="E260" s="195" t="s">
        <v>419</v>
      </c>
      <c r="F260" s="198">
        <v>200</v>
      </c>
      <c r="G260" s="32">
        <f>G261</f>
        <v>72</v>
      </c>
      <c r="H260" s="32">
        <f t="shared" ref="H260:I260" si="117">H261</f>
        <v>72</v>
      </c>
      <c r="I260" s="32">
        <f t="shared" si="117"/>
        <v>72</v>
      </c>
      <c r="J260" s="224"/>
      <c r="K260" s="224"/>
      <c r="L260" s="224"/>
      <c r="M260" s="226"/>
      <c r="N260" s="226"/>
      <c r="O260" s="226"/>
      <c r="P260" s="225">
        <f t="shared" si="92"/>
        <v>100</v>
      </c>
    </row>
    <row r="261" spans="1:16" x14ac:dyDescent="0.25">
      <c r="A261" s="198">
        <v>249</v>
      </c>
      <c r="B261" s="208" t="s">
        <v>22</v>
      </c>
      <c r="C261" s="195" t="s">
        <v>158</v>
      </c>
      <c r="D261" s="195" t="s">
        <v>107</v>
      </c>
      <c r="E261" s="195" t="s">
        <v>419</v>
      </c>
      <c r="F261" s="198">
        <v>240</v>
      </c>
      <c r="G261" s="32">
        <v>72</v>
      </c>
      <c r="H261" s="32">
        <v>72</v>
      </c>
      <c r="I261" s="32">
        <v>72</v>
      </c>
      <c r="J261" s="224"/>
      <c r="K261" s="224"/>
      <c r="L261" s="224"/>
      <c r="M261" s="226"/>
      <c r="N261" s="226"/>
      <c r="O261" s="226"/>
      <c r="P261" s="225">
        <f t="shared" si="92"/>
        <v>100</v>
      </c>
    </row>
    <row r="262" spans="1:16" x14ac:dyDescent="0.25">
      <c r="A262" s="198">
        <v>250</v>
      </c>
      <c r="B262" s="62" t="s">
        <v>41</v>
      </c>
      <c r="C262" s="195" t="s">
        <v>158</v>
      </c>
      <c r="D262" s="195" t="s">
        <v>108</v>
      </c>
      <c r="E262" s="198"/>
      <c r="F262" s="198"/>
      <c r="G262" s="32">
        <f>G263</f>
        <v>21345.426719999999</v>
      </c>
      <c r="H262" s="32">
        <f t="shared" ref="H262:I263" si="118">H263</f>
        <v>21407.77</v>
      </c>
      <c r="I262" s="32">
        <f t="shared" si="118"/>
        <v>20741</v>
      </c>
      <c r="J262" s="224"/>
      <c r="K262" s="224"/>
      <c r="L262" s="224"/>
      <c r="M262" s="226"/>
      <c r="N262" s="226"/>
      <c r="O262" s="226"/>
      <c r="P262" s="225">
        <f t="shared" si="92"/>
        <v>96.885383204322537</v>
      </c>
    </row>
    <row r="263" spans="1:16" x14ac:dyDescent="0.25">
      <c r="A263" s="198">
        <v>251</v>
      </c>
      <c r="B263" s="197" t="s">
        <v>44</v>
      </c>
      <c r="C263" s="195" t="s">
        <v>158</v>
      </c>
      <c r="D263" s="195" t="s">
        <v>108</v>
      </c>
      <c r="E263" s="198">
        <v>1000000000</v>
      </c>
      <c r="F263" s="198"/>
      <c r="G263" s="32">
        <f>G264</f>
        <v>21345.426719999999</v>
      </c>
      <c r="H263" s="32">
        <f t="shared" si="118"/>
        <v>21407.77</v>
      </c>
      <c r="I263" s="32">
        <f t="shared" si="118"/>
        <v>20741</v>
      </c>
      <c r="J263" s="224"/>
      <c r="K263" s="224"/>
      <c r="L263" s="224"/>
      <c r="M263" s="226"/>
      <c r="N263" s="226"/>
      <c r="O263" s="226"/>
      <c r="P263" s="225">
        <f t="shared" si="92"/>
        <v>96.885383204322537</v>
      </c>
    </row>
    <row r="264" spans="1:16" x14ac:dyDescent="0.25">
      <c r="A264" s="198">
        <v>252</v>
      </c>
      <c r="B264" s="197" t="s">
        <v>331</v>
      </c>
      <c r="C264" s="195" t="s">
        <v>158</v>
      </c>
      <c r="D264" s="195" t="s">
        <v>108</v>
      </c>
      <c r="E264" s="198">
        <v>1010000000</v>
      </c>
      <c r="F264" s="198"/>
      <c r="G264" s="32">
        <f>G265+G268+G271</f>
        <v>21345.426719999999</v>
      </c>
      <c r="H264" s="32">
        <f t="shared" ref="H264:I264" si="119">H265+H268+H271</f>
        <v>21407.77</v>
      </c>
      <c r="I264" s="32">
        <f t="shared" si="119"/>
        <v>20741</v>
      </c>
      <c r="J264" s="224"/>
      <c r="K264" s="224"/>
      <c r="L264" s="224"/>
      <c r="M264" s="226"/>
      <c r="N264" s="226"/>
      <c r="O264" s="226"/>
      <c r="P264" s="225">
        <f t="shared" si="92"/>
        <v>96.885383204322537</v>
      </c>
    </row>
    <row r="265" spans="1:16" ht="75" x14ac:dyDescent="0.25">
      <c r="A265" s="198">
        <v>253</v>
      </c>
      <c r="B265" s="199" t="s">
        <v>45</v>
      </c>
      <c r="C265" s="195" t="s">
        <v>158</v>
      </c>
      <c r="D265" s="195" t="s">
        <v>108</v>
      </c>
      <c r="E265" s="198">
        <v>1010023580</v>
      </c>
      <c r="F265" s="198"/>
      <c r="G265" s="32">
        <f>G266</f>
        <v>17003.726719999999</v>
      </c>
      <c r="H265" s="32">
        <f>H266</f>
        <v>17003.73</v>
      </c>
      <c r="I265" s="32">
        <f>I266</f>
        <v>16336.98</v>
      </c>
      <c r="J265" s="224"/>
      <c r="K265" s="224"/>
      <c r="L265" s="224"/>
      <c r="M265" s="226"/>
      <c r="N265" s="226"/>
      <c r="O265" s="226"/>
      <c r="P265" s="225">
        <f t="shared" si="92"/>
        <v>96.078801533545871</v>
      </c>
    </row>
    <row r="266" spans="1:16" x14ac:dyDescent="0.25">
      <c r="A266" s="198">
        <v>254</v>
      </c>
      <c r="B266" s="208" t="s">
        <v>33</v>
      </c>
      <c r="C266" s="195" t="s">
        <v>158</v>
      </c>
      <c r="D266" s="195" t="s">
        <v>108</v>
      </c>
      <c r="E266" s="198">
        <v>1010023580</v>
      </c>
      <c r="F266" s="198">
        <v>800</v>
      </c>
      <c r="G266" s="32">
        <f>G267</f>
        <v>17003.726719999999</v>
      </c>
      <c r="H266" s="32">
        <f t="shared" ref="H266:I266" si="120">H267</f>
        <v>17003.73</v>
      </c>
      <c r="I266" s="32">
        <f t="shared" si="120"/>
        <v>16336.98</v>
      </c>
      <c r="J266" s="224"/>
      <c r="K266" s="224"/>
      <c r="L266" s="224"/>
      <c r="M266" s="226"/>
      <c r="N266" s="226"/>
      <c r="O266" s="226"/>
      <c r="P266" s="225">
        <f t="shared" si="92"/>
        <v>96.078801533545871</v>
      </c>
    </row>
    <row r="267" spans="1:16" ht="30" x14ac:dyDescent="0.25">
      <c r="A267" s="198">
        <v>255</v>
      </c>
      <c r="B267" s="208" t="s">
        <v>46</v>
      </c>
      <c r="C267" s="195" t="s">
        <v>158</v>
      </c>
      <c r="D267" s="195" t="s">
        <v>108</v>
      </c>
      <c r="E267" s="198">
        <v>1010023580</v>
      </c>
      <c r="F267" s="198">
        <v>810</v>
      </c>
      <c r="G267" s="32">
        <f>17330.73-0.00328-327</f>
        <v>17003.726719999999</v>
      </c>
      <c r="H267" s="32">
        <v>17003.73</v>
      </c>
      <c r="I267" s="32">
        <v>16336.98</v>
      </c>
      <c r="J267" s="224">
        <v>-3.2799999999999999E-3</v>
      </c>
      <c r="K267" s="224"/>
      <c r="L267" s="224"/>
      <c r="M267" s="226"/>
      <c r="N267" s="226"/>
      <c r="O267" s="226"/>
      <c r="P267" s="225">
        <f t="shared" si="92"/>
        <v>96.078801533545871</v>
      </c>
    </row>
    <row r="268" spans="1:16" ht="60" x14ac:dyDescent="0.25">
      <c r="A268" s="198">
        <v>256</v>
      </c>
      <c r="B268" s="203" t="s">
        <v>276</v>
      </c>
      <c r="C268" s="195" t="s">
        <v>158</v>
      </c>
      <c r="D268" s="195" t="s">
        <v>108</v>
      </c>
      <c r="E268" s="198">
        <v>1010023590</v>
      </c>
      <c r="F268" s="198"/>
      <c r="G268" s="32">
        <f>G269</f>
        <v>3890.9</v>
      </c>
      <c r="H268" s="32">
        <f t="shared" ref="H268:I269" si="121">H269</f>
        <v>3890.9</v>
      </c>
      <c r="I268" s="32">
        <f t="shared" si="121"/>
        <v>3890.88</v>
      </c>
      <c r="J268" s="224"/>
      <c r="K268" s="224"/>
      <c r="L268" s="224"/>
      <c r="M268" s="226"/>
      <c r="N268" s="226"/>
      <c r="O268" s="226"/>
      <c r="P268" s="225">
        <f t="shared" si="92"/>
        <v>99.999485980107423</v>
      </c>
    </row>
    <row r="269" spans="1:16" x14ac:dyDescent="0.25">
      <c r="A269" s="198">
        <v>257</v>
      </c>
      <c r="B269" s="208" t="s">
        <v>33</v>
      </c>
      <c r="C269" s="195" t="s">
        <v>158</v>
      </c>
      <c r="D269" s="195" t="s">
        <v>108</v>
      </c>
      <c r="E269" s="198">
        <v>1010023590</v>
      </c>
      <c r="F269" s="198">
        <v>800</v>
      </c>
      <c r="G269" s="32">
        <f>G270</f>
        <v>3890.9</v>
      </c>
      <c r="H269" s="32">
        <f t="shared" si="121"/>
        <v>3890.9</v>
      </c>
      <c r="I269" s="32">
        <f t="shared" si="121"/>
        <v>3890.88</v>
      </c>
      <c r="J269" s="224"/>
      <c r="K269" s="224"/>
      <c r="L269" s="224"/>
      <c r="M269" s="226"/>
      <c r="N269" s="226"/>
      <c r="O269" s="226"/>
      <c r="P269" s="225">
        <f t="shared" si="92"/>
        <v>99.999485980107423</v>
      </c>
    </row>
    <row r="270" spans="1:16" ht="54.75" customHeight="1" x14ac:dyDescent="0.25">
      <c r="A270" s="198">
        <v>258</v>
      </c>
      <c r="B270" s="208" t="s">
        <v>46</v>
      </c>
      <c r="C270" s="195" t="s">
        <v>158</v>
      </c>
      <c r="D270" s="195" t="s">
        <v>108</v>
      </c>
      <c r="E270" s="198">
        <v>1010023590</v>
      </c>
      <c r="F270" s="198">
        <v>810</v>
      </c>
      <c r="G270" s="32">
        <v>3890.9</v>
      </c>
      <c r="H270" s="32">
        <v>3890.9</v>
      </c>
      <c r="I270" s="32">
        <v>3890.88</v>
      </c>
      <c r="J270" s="224"/>
      <c r="K270" s="224"/>
      <c r="L270" s="224"/>
      <c r="M270" s="226"/>
      <c r="N270" s="226"/>
      <c r="O270" s="226"/>
      <c r="P270" s="225">
        <f t="shared" ref="P270:P333" si="122">I270/H270*100</f>
        <v>99.999485980107423</v>
      </c>
    </row>
    <row r="271" spans="1:16" ht="94.5" customHeight="1" x14ac:dyDescent="0.25">
      <c r="A271" s="198">
        <v>259</v>
      </c>
      <c r="B271" s="208" t="s">
        <v>571</v>
      </c>
      <c r="C271" s="195" t="s">
        <v>158</v>
      </c>
      <c r="D271" s="195" t="s">
        <v>108</v>
      </c>
      <c r="E271" s="198">
        <v>1010074020</v>
      </c>
      <c r="F271" s="198"/>
      <c r="G271" s="32">
        <f>G272</f>
        <v>450.8</v>
      </c>
      <c r="H271" s="32">
        <f t="shared" ref="H271:I272" si="123">H272</f>
        <v>513.14</v>
      </c>
      <c r="I271" s="32">
        <f t="shared" si="123"/>
        <v>513.14</v>
      </c>
      <c r="J271" s="224"/>
      <c r="K271" s="224"/>
      <c r="L271" s="224"/>
      <c r="M271" s="226"/>
      <c r="N271" s="226"/>
      <c r="O271" s="226"/>
      <c r="P271" s="225">
        <f t="shared" si="122"/>
        <v>100</v>
      </c>
    </row>
    <row r="272" spans="1:16" ht="29.25" customHeight="1" x14ac:dyDescent="0.25">
      <c r="A272" s="198">
        <v>260</v>
      </c>
      <c r="B272" s="208" t="s">
        <v>33</v>
      </c>
      <c r="C272" s="195" t="s">
        <v>158</v>
      </c>
      <c r="D272" s="195" t="s">
        <v>108</v>
      </c>
      <c r="E272" s="198">
        <v>1010074020</v>
      </c>
      <c r="F272" s="198">
        <v>800</v>
      </c>
      <c r="G272" s="32">
        <f>G273</f>
        <v>450.8</v>
      </c>
      <c r="H272" s="32">
        <f t="shared" si="123"/>
        <v>513.14</v>
      </c>
      <c r="I272" s="32">
        <f t="shared" si="123"/>
        <v>513.14</v>
      </c>
      <c r="J272" s="224"/>
      <c r="K272" s="224"/>
      <c r="L272" s="224"/>
      <c r="M272" s="226"/>
      <c r="N272" s="226"/>
      <c r="O272" s="226"/>
      <c r="P272" s="225">
        <f t="shared" si="122"/>
        <v>100</v>
      </c>
    </row>
    <row r="273" spans="1:16" ht="54.75" customHeight="1" x14ac:dyDescent="0.25">
      <c r="A273" s="198">
        <v>261</v>
      </c>
      <c r="B273" s="208" t="s">
        <v>46</v>
      </c>
      <c r="C273" s="195" t="s">
        <v>158</v>
      </c>
      <c r="D273" s="195" t="s">
        <v>108</v>
      </c>
      <c r="E273" s="198">
        <v>1010074020</v>
      </c>
      <c r="F273" s="198">
        <v>810</v>
      </c>
      <c r="G273" s="32">
        <v>450.8</v>
      </c>
      <c r="H273" s="32">
        <v>513.14</v>
      </c>
      <c r="I273" s="32">
        <v>513.14</v>
      </c>
      <c r="J273" s="224"/>
      <c r="K273" s="224"/>
      <c r="L273" s="224"/>
      <c r="M273" s="226"/>
      <c r="N273" s="226"/>
      <c r="O273" s="226"/>
      <c r="P273" s="225">
        <f t="shared" si="122"/>
        <v>100</v>
      </c>
    </row>
    <row r="274" spans="1:16" x14ac:dyDescent="0.25">
      <c r="A274" s="198">
        <v>262</v>
      </c>
      <c r="B274" s="62" t="s">
        <v>47</v>
      </c>
      <c r="C274" s="195" t="s">
        <v>158</v>
      </c>
      <c r="D274" s="195" t="s">
        <v>110</v>
      </c>
      <c r="E274" s="198"/>
      <c r="F274" s="198"/>
      <c r="G274" s="32">
        <f t="shared" ref="G274:I278" si="124">G275</f>
        <v>15668.38</v>
      </c>
      <c r="H274" s="32">
        <f t="shared" si="124"/>
        <v>15668.380000000001</v>
      </c>
      <c r="I274" s="32">
        <f t="shared" si="124"/>
        <v>14235.130000000001</v>
      </c>
      <c r="J274" s="224"/>
      <c r="K274" s="224"/>
      <c r="L274" s="224"/>
      <c r="M274" s="226"/>
      <c r="N274" s="226"/>
      <c r="O274" s="226"/>
      <c r="P274" s="225">
        <f t="shared" si="122"/>
        <v>90.852596120339186</v>
      </c>
    </row>
    <row r="275" spans="1:16" x14ac:dyDescent="0.25">
      <c r="A275" s="198">
        <v>263</v>
      </c>
      <c r="B275" s="197" t="s">
        <v>44</v>
      </c>
      <c r="C275" s="195" t="s">
        <v>158</v>
      </c>
      <c r="D275" s="195" t="s">
        <v>110</v>
      </c>
      <c r="E275" s="198">
        <v>1000000000</v>
      </c>
      <c r="F275" s="198"/>
      <c r="G275" s="32">
        <f>G276+G293+G286</f>
        <v>15668.38</v>
      </c>
      <c r="H275" s="32">
        <f>H276+H293+H286</f>
        <v>15668.380000000001</v>
      </c>
      <c r="I275" s="32">
        <f>I276+I293+I286</f>
        <v>14235.130000000001</v>
      </c>
      <c r="J275" s="224"/>
      <c r="K275" s="224"/>
      <c r="L275" s="224"/>
      <c r="M275" s="226"/>
      <c r="N275" s="226"/>
      <c r="O275" s="226"/>
      <c r="P275" s="225">
        <f t="shared" si="122"/>
        <v>90.852596120339186</v>
      </c>
    </row>
    <row r="276" spans="1:16" x14ac:dyDescent="0.25">
      <c r="A276" s="198">
        <v>264</v>
      </c>
      <c r="B276" s="197" t="s">
        <v>48</v>
      </c>
      <c r="C276" s="195" t="s">
        <v>158</v>
      </c>
      <c r="D276" s="195" t="s">
        <v>110</v>
      </c>
      <c r="E276" s="198">
        <v>1020000000</v>
      </c>
      <c r="F276" s="198"/>
      <c r="G276" s="32">
        <f>G277+G280+G283</f>
        <v>2525.2999999999997</v>
      </c>
      <c r="H276" s="32">
        <f t="shared" ref="H276:I276" si="125">H277+H280+H283</f>
        <v>2525.3000000000002</v>
      </c>
      <c r="I276" s="32">
        <f t="shared" si="125"/>
        <v>1125.93</v>
      </c>
      <c r="J276" s="224"/>
      <c r="K276" s="224"/>
      <c r="L276" s="224"/>
      <c r="M276" s="226"/>
      <c r="N276" s="226"/>
      <c r="O276" s="226"/>
      <c r="P276" s="225">
        <f t="shared" si="122"/>
        <v>44.585989783392073</v>
      </c>
    </row>
    <row r="277" spans="1:16" ht="30" x14ac:dyDescent="0.25">
      <c r="A277" s="198">
        <v>265</v>
      </c>
      <c r="B277" s="203" t="s">
        <v>475</v>
      </c>
      <c r="C277" s="195" t="s">
        <v>158</v>
      </c>
      <c r="D277" s="195" t="s">
        <v>110</v>
      </c>
      <c r="E277" s="198">
        <v>1020082220</v>
      </c>
      <c r="F277" s="198"/>
      <c r="G277" s="32">
        <f t="shared" si="124"/>
        <v>447.8</v>
      </c>
      <c r="H277" s="32">
        <f t="shared" ref="H277:I278" si="126">H278</f>
        <v>447.8</v>
      </c>
      <c r="I277" s="32">
        <f t="shared" si="126"/>
        <v>0</v>
      </c>
      <c r="J277" s="224"/>
      <c r="K277" s="224"/>
      <c r="L277" s="224"/>
      <c r="M277" s="226"/>
      <c r="N277" s="226"/>
      <c r="O277" s="226"/>
      <c r="P277" s="225">
        <f t="shared" si="122"/>
        <v>0</v>
      </c>
    </row>
    <row r="278" spans="1:16" x14ac:dyDescent="0.25">
      <c r="A278" s="198">
        <v>266</v>
      </c>
      <c r="B278" s="208" t="s">
        <v>21</v>
      </c>
      <c r="C278" s="195" t="s">
        <v>158</v>
      </c>
      <c r="D278" s="195" t="s">
        <v>110</v>
      </c>
      <c r="E278" s="198">
        <v>1020082220</v>
      </c>
      <c r="F278" s="198">
        <v>200</v>
      </c>
      <c r="G278" s="32">
        <f t="shared" si="124"/>
        <v>447.8</v>
      </c>
      <c r="H278" s="32">
        <f t="shared" si="126"/>
        <v>447.8</v>
      </c>
      <c r="I278" s="32">
        <f t="shared" si="126"/>
        <v>0</v>
      </c>
      <c r="J278" s="224"/>
      <c r="K278" s="224"/>
      <c r="L278" s="224"/>
      <c r="M278" s="226"/>
      <c r="N278" s="226"/>
      <c r="O278" s="226"/>
      <c r="P278" s="225">
        <f t="shared" si="122"/>
        <v>0</v>
      </c>
    </row>
    <row r="279" spans="1:16" x14ac:dyDescent="0.25">
      <c r="A279" s="198">
        <v>267</v>
      </c>
      <c r="B279" s="208" t="s">
        <v>22</v>
      </c>
      <c r="C279" s="195" t="s">
        <v>158</v>
      </c>
      <c r="D279" s="195" t="s">
        <v>110</v>
      </c>
      <c r="E279" s="198">
        <v>1020082220</v>
      </c>
      <c r="F279" s="198">
        <v>240</v>
      </c>
      <c r="G279" s="32">
        <v>447.8</v>
      </c>
      <c r="H279" s="32">
        <v>447.8</v>
      </c>
      <c r="I279" s="32">
        <v>0</v>
      </c>
      <c r="J279" s="224"/>
      <c r="K279" s="224"/>
      <c r="L279" s="224"/>
      <c r="M279" s="226"/>
      <c r="N279" s="226"/>
      <c r="O279" s="226"/>
      <c r="P279" s="225">
        <f t="shared" si="122"/>
        <v>0</v>
      </c>
    </row>
    <row r="280" spans="1:16" ht="60" x14ac:dyDescent="0.25">
      <c r="A280" s="198">
        <v>268</v>
      </c>
      <c r="B280" s="203" t="s">
        <v>510</v>
      </c>
      <c r="C280" s="195" t="s">
        <v>158</v>
      </c>
      <c r="D280" s="63" t="s">
        <v>110</v>
      </c>
      <c r="E280" s="198" t="s">
        <v>511</v>
      </c>
      <c r="F280" s="198"/>
      <c r="G280" s="32">
        <f>G281</f>
        <v>1177.3999999999999</v>
      </c>
      <c r="H280" s="32">
        <f t="shared" ref="H280:I281" si="127">H281</f>
        <v>1177.4000000000001</v>
      </c>
      <c r="I280" s="32">
        <f t="shared" si="127"/>
        <v>290.83999999999997</v>
      </c>
      <c r="J280" s="224"/>
      <c r="K280" s="224"/>
      <c r="L280" s="224"/>
      <c r="M280" s="226"/>
      <c r="N280" s="226"/>
      <c r="O280" s="226"/>
      <c r="P280" s="225">
        <f t="shared" si="122"/>
        <v>24.701885510446743</v>
      </c>
    </row>
    <row r="281" spans="1:16" x14ac:dyDescent="0.25">
      <c r="A281" s="198">
        <v>269</v>
      </c>
      <c r="B281" s="208" t="s">
        <v>21</v>
      </c>
      <c r="C281" s="195" t="s">
        <v>158</v>
      </c>
      <c r="D281" s="63" t="s">
        <v>110</v>
      </c>
      <c r="E281" s="198" t="s">
        <v>511</v>
      </c>
      <c r="F281" s="198">
        <v>200</v>
      </c>
      <c r="G281" s="32">
        <f>G282</f>
        <v>1177.3999999999999</v>
      </c>
      <c r="H281" s="32">
        <f t="shared" si="127"/>
        <v>1177.4000000000001</v>
      </c>
      <c r="I281" s="32">
        <f t="shared" si="127"/>
        <v>290.83999999999997</v>
      </c>
      <c r="J281" s="224"/>
      <c r="K281" s="224"/>
      <c r="L281" s="224"/>
      <c r="M281" s="226"/>
      <c r="N281" s="226"/>
      <c r="O281" s="226"/>
      <c r="P281" s="225">
        <f t="shared" si="122"/>
        <v>24.701885510446743</v>
      </c>
    </row>
    <row r="282" spans="1:16" ht="18.75" customHeight="1" x14ac:dyDescent="0.25">
      <c r="A282" s="198">
        <v>270</v>
      </c>
      <c r="B282" s="208" t="s">
        <v>22</v>
      </c>
      <c r="C282" s="195" t="s">
        <v>158</v>
      </c>
      <c r="D282" s="63" t="s">
        <v>110</v>
      </c>
      <c r="E282" s="198" t="s">
        <v>511</v>
      </c>
      <c r="F282" s="198">
        <v>240</v>
      </c>
      <c r="G282" s="32">
        <f>1174.2+13.1-9.9</f>
        <v>1177.3999999999999</v>
      </c>
      <c r="H282" s="32">
        <v>1177.4000000000001</v>
      </c>
      <c r="I282" s="32">
        <v>290.83999999999997</v>
      </c>
      <c r="J282" s="224">
        <v>1174.2</v>
      </c>
      <c r="K282" s="224">
        <v>13.1</v>
      </c>
      <c r="L282" s="224"/>
      <c r="M282" s="226"/>
      <c r="N282" s="226"/>
      <c r="O282" s="226"/>
      <c r="P282" s="225">
        <f t="shared" si="122"/>
        <v>24.701885510446743</v>
      </c>
    </row>
    <row r="283" spans="1:16" ht="58.5" customHeight="1" x14ac:dyDescent="0.25">
      <c r="A283" s="198">
        <v>271</v>
      </c>
      <c r="B283" s="203" t="s">
        <v>563</v>
      </c>
      <c r="C283" s="195" t="s">
        <v>158</v>
      </c>
      <c r="D283" s="63" t="s">
        <v>110</v>
      </c>
      <c r="E283" s="198" t="s">
        <v>547</v>
      </c>
      <c r="F283" s="198"/>
      <c r="G283" s="32">
        <f>G284</f>
        <v>900.1</v>
      </c>
      <c r="H283" s="32">
        <f t="shared" ref="H283:I284" si="128">H284</f>
        <v>900.1</v>
      </c>
      <c r="I283" s="32">
        <f t="shared" si="128"/>
        <v>835.09</v>
      </c>
      <c r="J283" s="224"/>
      <c r="K283" s="224"/>
      <c r="L283" s="224"/>
      <c r="M283" s="226"/>
      <c r="N283" s="226"/>
      <c r="O283" s="226"/>
      <c r="P283" s="225">
        <f t="shared" si="122"/>
        <v>92.777469170092203</v>
      </c>
    </row>
    <row r="284" spans="1:16" ht="18.75" customHeight="1" x14ac:dyDescent="0.25">
      <c r="A284" s="198">
        <v>272</v>
      </c>
      <c r="B284" s="208" t="s">
        <v>21</v>
      </c>
      <c r="C284" s="195" t="s">
        <v>158</v>
      </c>
      <c r="D284" s="63" t="s">
        <v>110</v>
      </c>
      <c r="E284" s="198" t="s">
        <v>547</v>
      </c>
      <c r="F284" s="198">
        <v>200</v>
      </c>
      <c r="G284" s="32">
        <f>G285</f>
        <v>900.1</v>
      </c>
      <c r="H284" s="32">
        <f t="shared" si="128"/>
        <v>900.1</v>
      </c>
      <c r="I284" s="32">
        <f t="shared" si="128"/>
        <v>835.09</v>
      </c>
      <c r="J284" s="224"/>
      <c r="K284" s="224"/>
      <c r="L284" s="224"/>
      <c r="M284" s="226"/>
      <c r="N284" s="226"/>
      <c r="O284" s="226"/>
      <c r="P284" s="225">
        <f t="shared" si="122"/>
        <v>92.777469170092203</v>
      </c>
    </row>
    <row r="285" spans="1:16" ht="18.75" customHeight="1" x14ac:dyDescent="0.25">
      <c r="A285" s="198">
        <v>273</v>
      </c>
      <c r="B285" s="208" t="s">
        <v>22</v>
      </c>
      <c r="C285" s="195" t="s">
        <v>158</v>
      </c>
      <c r="D285" s="63" t="s">
        <v>110</v>
      </c>
      <c r="E285" s="198" t="s">
        <v>547</v>
      </c>
      <c r="F285" s="198">
        <v>240</v>
      </c>
      <c r="G285" s="32">
        <v>900.1</v>
      </c>
      <c r="H285" s="32">
        <v>900.1</v>
      </c>
      <c r="I285" s="32">
        <v>835.09</v>
      </c>
      <c r="J285" s="224"/>
      <c r="K285" s="224"/>
      <c r="L285" s="224"/>
      <c r="M285" s="226"/>
      <c r="N285" s="226"/>
      <c r="O285" s="226"/>
      <c r="P285" s="225">
        <f t="shared" si="122"/>
        <v>92.777469170092203</v>
      </c>
    </row>
    <row r="286" spans="1:16" ht="30" x14ac:dyDescent="0.25">
      <c r="A286" s="198">
        <v>274</v>
      </c>
      <c r="B286" s="197" t="s">
        <v>312</v>
      </c>
      <c r="C286" s="195" t="s">
        <v>158</v>
      </c>
      <c r="D286" s="195" t="s">
        <v>110</v>
      </c>
      <c r="E286" s="198">
        <v>1030000000</v>
      </c>
      <c r="F286" s="198"/>
      <c r="G286" s="32">
        <f>G287+G290</f>
        <v>12810</v>
      </c>
      <c r="H286" s="32">
        <f t="shared" ref="H286:I286" si="129">H287+H290</f>
        <v>12810</v>
      </c>
      <c r="I286" s="32">
        <f t="shared" si="129"/>
        <v>12810</v>
      </c>
      <c r="J286" s="224"/>
      <c r="K286" s="224"/>
      <c r="L286" s="224"/>
      <c r="M286" s="226"/>
      <c r="N286" s="226"/>
      <c r="O286" s="226"/>
      <c r="P286" s="225">
        <f t="shared" si="122"/>
        <v>100</v>
      </c>
    </row>
    <row r="287" spans="1:16" x14ac:dyDescent="0.25">
      <c r="A287" s="198">
        <v>275</v>
      </c>
      <c r="B287" s="197" t="s">
        <v>437</v>
      </c>
      <c r="C287" s="195" t="s">
        <v>158</v>
      </c>
      <c r="D287" s="195" t="s">
        <v>110</v>
      </c>
      <c r="E287" s="198" t="s">
        <v>438</v>
      </c>
      <c r="F287" s="198"/>
      <c r="G287" s="32">
        <f>G288</f>
        <v>12781.9</v>
      </c>
      <c r="H287" s="32">
        <f t="shared" ref="H287:I288" si="130">H288</f>
        <v>12781.9</v>
      </c>
      <c r="I287" s="32">
        <f t="shared" si="130"/>
        <v>12781.9</v>
      </c>
      <c r="J287" s="224"/>
      <c r="K287" s="224"/>
      <c r="L287" s="224"/>
      <c r="M287" s="226"/>
      <c r="N287" s="226"/>
      <c r="O287" s="226"/>
      <c r="P287" s="225">
        <f t="shared" si="122"/>
        <v>100</v>
      </c>
    </row>
    <row r="288" spans="1:16" x14ac:dyDescent="0.25">
      <c r="A288" s="198">
        <v>276</v>
      </c>
      <c r="B288" s="208" t="s">
        <v>21</v>
      </c>
      <c r="C288" s="195" t="s">
        <v>158</v>
      </c>
      <c r="D288" s="195" t="s">
        <v>110</v>
      </c>
      <c r="E288" s="198" t="s">
        <v>438</v>
      </c>
      <c r="F288" s="198">
        <v>200</v>
      </c>
      <c r="G288" s="32">
        <f>G289</f>
        <v>12781.9</v>
      </c>
      <c r="H288" s="32">
        <f t="shared" si="130"/>
        <v>12781.9</v>
      </c>
      <c r="I288" s="32">
        <f t="shared" si="130"/>
        <v>12781.9</v>
      </c>
      <c r="J288" s="224"/>
      <c r="K288" s="224"/>
      <c r="L288" s="224"/>
      <c r="M288" s="226"/>
      <c r="N288" s="226"/>
      <c r="O288" s="226"/>
      <c r="P288" s="225">
        <f t="shared" si="122"/>
        <v>100</v>
      </c>
    </row>
    <row r="289" spans="1:16" x14ac:dyDescent="0.25">
      <c r="A289" s="198">
        <v>277</v>
      </c>
      <c r="B289" s="208" t="s">
        <v>22</v>
      </c>
      <c r="C289" s="195" t="s">
        <v>158</v>
      </c>
      <c r="D289" s="195" t="s">
        <v>110</v>
      </c>
      <c r="E289" s="198" t="s">
        <v>438</v>
      </c>
      <c r="F289" s="198">
        <v>240</v>
      </c>
      <c r="G289" s="32">
        <f>12753.8+165.8-135.8-1.9</f>
        <v>12781.9</v>
      </c>
      <c r="H289" s="32">
        <v>12781.9</v>
      </c>
      <c r="I289" s="32">
        <v>12781.9</v>
      </c>
      <c r="J289" s="224">
        <v>-135.80000000000001</v>
      </c>
      <c r="K289" s="224"/>
      <c r="L289" s="224"/>
      <c r="M289" s="226"/>
      <c r="N289" s="226"/>
      <c r="O289" s="226"/>
      <c r="P289" s="225">
        <f t="shared" si="122"/>
        <v>100</v>
      </c>
    </row>
    <row r="290" spans="1:16" ht="54" customHeight="1" x14ac:dyDescent="0.25">
      <c r="A290" s="198">
        <v>278</v>
      </c>
      <c r="B290" s="203" t="s">
        <v>548</v>
      </c>
      <c r="C290" s="195" t="s">
        <v>158</v>
      </c>
      <c r="D290" s="195" t="s">
        <v>110</v>
      </c>
      <c r="E290" s="198">
        <v>1030084580</v>
      </c>
      <c r="F290" s="198"/>
      <c r="G290" s="32">
        <f>G291</f>
        <v>28.1</v>
      </c>
      <c r="H290" s="32">
        <f t="shared" ref="H290:I291" si="131">H291</f>
        <v>28.1</v>
      </c>
      <c r="I290" s="32">
        <f t="shared" si="131"/>
        <v>28.1</v>
      </c>
      <c r="J290" s="224"/>
      <c r="K290" s="224"/>
      <c r="L290" s="224"/>
      <c r="M290" s="226"/>
      <c r="N290" s="226"/>
      <c r="O290" s="226"/>
      <c r="P290" s="225">
        <f t="shared" si="122"/>
        <v>100</v>
      </c>
    </row>
    <row r="291" spans="1:16" x14ac:dyDescent="0.25">
      <c r="A291" s="198">
        <v>279</v>
      </c>
      <c r="B291" s="208" t="s">
        <v>21</v>
      </c>
      <c r="C291" s="195" t="s">
        <v>158</v>
      </c>
      <c r="D291" s="195" t="s">
        <v>110</v>
      </c>
      <c r="E291" s="198">
        <v>1030084580</v>
      </c>
      <c r="F291" s="198">
        <v>200</v>
      </c>
      <c r="G291" s="32">
        <f>G292</f>
        <v>28.1</v>
      </c>
      <c r="H291" s="32">
        <f t="shared" si="131"/>
        <v>28.1</v>
      </c>
      <c r="I291" s="32">
        <f t="shared" si="131"/>
        <v>28.1</v>
      </c>
      <c r="J291" s="224"/>
      <c r="K291" s="224"/>
      <c r="L291" s="224"/>
      <c r="M291" s="226"/>
      <c r="N291" s="226"/>
      <c r="O291" s="226"/>
      <c r="P291" s="225">
        <f t="shared" si="122"/>
        <v>100</v>
      </c>
    </row>
    <row r="292" spans="1:16" x14ac:dyDescent="0.25">
      <c r="A292" s="198">
        <v>280</v>
      </c>
      <c r="B292" s="208" t="s">
        <v>22</v>
      </c>
      <c r="C292" s="195" t="s">
        <v>158</v>
      </c>
      <c r="D292" s="195" t="s">
        <v>110</v>
      </c>
      <c r="E292" s="198">
        <v>1030084580</v>
      </c>
      <c r="F292" s="198">
        <v>240</v>
      </c>
      <c r="G292" s="32">
        <f>19.1+9</f>
        <v>28.1</v>
      </c>
      <c r="H292" s="32">
        <v>28.1</v>
      </c>
      <c r="I292" s="32">
        <v>28.1</v>
      </c>
      <c r="J292" s="224">
        <v>19.100000000000001</v>
      </c>
      <c r="K292" s="224"/>
      <c r="L292" s="224"/>
      <c r="M292" s="226"/>
      <c r="N292" s="226"/>
      <c r="O292" s="226"/>
      <c r="P292" s="225">
        <f t="shared" si="122"/>
        <v>100</v>
      </c>
    </row>
    <row r="293" spans="1:16" x14ac:dyDescent="0.25">
      <c r="A293" s="198">
        <v>281</v>
      </c>
      <c r="B293" s="203" t="s">
        <v>263</v>
      </c>
      <c r="C293" s="195" t="s">
        <v>158</v>
      </c>
      <c r="D293" s="195" t="s">
        <v>110</v>
      </c>
      <c r="E293" s="198">
        <v>1040000000</v>
      </c>
      <c r="F293" s="198"/>
      <c r="G293" s="32">
        <f>G294</f>
        <v>333.08</v>
      </c>
      <c r="H293" s="32">
        <f t="shared" ref="H293:I293" si="132">H294</f>
        <v>333.08</v>
      </c>
      <c r="I293" s="32">
        <f t="shared" si="132"/>
        <v>299.2</v>
      </c>
      <c r="J293" s="224"/>
      <c r="K293" s="224"/>
      <c r="L293" s="224"/>
      <c r="M293" s="226"/>
      <c r="N293" s="226"/>
      <c r="O293" s="226"/>
      <c r="P293" s="225">
        <f t="shared" si="122"/>
        <v>89.828269484808459</v>
      </c>
    </row>
    <row r="294" spans="1:16" ht="60" x14ac:dyDescent="0.25">
      <c r="A294" s="198">
        <v>282</v>
      </c>
      <c r="B294" s="203" t="s">
        <v>405</v>
      </c>
      <c r="C294" s="195" t="s">
        <v>158</v>
      </c>
      <c r="D294" s="195" t="s">
        <v>110</v>
      </c>
      <c r="E294" s="198" t="s">
        <v>277</v>
      </c>
      <c r="F294" s="198"/>
      <c r="G294" s="32">
        <f>G295</f>
        <v>333.08</v>
      </c>
      <c r="H294" s="32">
        <f t="shared" ref="H294:I295" si="133">H295</f>
        <v>333.08</v>
      </c>
      <c r="I294" s="32">
        <f t="shared" si="133"/>
        <v>299.2</v>
      </c>
      <c r="J294" s="224"/>
      <c r="K294" s="224"/>
      <c r="L294" s="224"/>
      <c r="M294" s="226"/>
      <c r="N294" s="226"/>
      <c r="O294" s="226"/>
      <c r="P294" s="225">
        <f t="shared" si="122"/>
        <v>89.828269484808459</v>
      </c>
    </row>
    <row r="295" spans="1:16" x14ac:dyDescent="0.25">
      <c r="A295" s="198">
        <v>283</v>
      </c>
      <c r="B295" s="208" t="s">
        <v>21</v>
      </c>
      <c r="C295" s="195" t="s">
        <v>158</v>
      </c>
      <c r="D295" s="195" t="s">
        <v>110</v>
      </c>
      <c r="E295" s="198" t="s">
        <v>277</v>
      </c>
      <c r="F295" s="198">
        <v>200</v>
      </c>
      <c r="G295" s="32">
        <f>G296</f>
        <v>333.08</v>
      </c>
      <c r="H295" s="32">
        <f t="shared" si="133"/>
        <v>333.08</v>
      </c>
      <c r="I295" s="32">
        <f t="shared" si="133"/>
        <v>299.2</v>
      </c>
      <c r="J295" s="224"/>
      <c r="K295" s="224"/>
      <c r="L295" s="224"/>
      <c r="M295" s="226"/>
      <c r="N295" s="226"/>
      <c r="O295" s="226"/>
      <c r="P295" s="225">
        <f t="shared" si="122"/>
        <v>89.828269484808459</v>
      </c>
    </row>
    <row r="296" spans="1:16" x14ac:dyDescent="0.25">
      <c r="A296" s="198">
        <v>284</v>
      </c>
      <c r="B296" s="208" t="s">
        <v>22</v>
      </c>
      <c r="C296" s="195" t="s">
        <v>158</v>
      </c>
      <c r="D296" s="195" t="s">
        <v>110</v>
      </c>
      <c r="E296" s="198" t="s">
        <v>277</v>
      </c>
      <c r="F296" s="198">
        <v>240</v>
      </c>
      <c r="G296" s="32">
        <f>328.78+4.3</f>
        <v>333.08</v>
      </c>
      <c r="H296" s="32">
        <v>333.08</v>
      </c>
      <c r="I296" s="32">
        <v>299.2</v>
      </c>
      <c r="J296" s="224">
        <v>0</v>
      </c>
      <c r="K296" s="224">
        <v>0.33400000000000002</v>
      </c>
      <c r="L296" s="224"/>
      <c r="M296" s="226"/>
      <c r="N296" s="226"/>
      <c r="O296" s="226"/>
      <c r="P296" s="225">
        <f t="shared" si="122"/>
        <v>89.828269484808459</v>
      </c>
    </row>
    <row r="297" spans="1:16" x14ac:dyDescent="0.25">
      <c r="A297" s="198">
        <v>285</v>
      </c>
      <c r="B297" s="203" t="s">
        <v>278</v>
      </c>
      <c r="C297" s="195" t="s">
        <v>158</v>
      </c>
      <c r="D297" s="195" t="s">
        <v>279</v>
      </c>
      <c r="E297" s="198"/>
      <c r="F297" s="198"/>
      <c r="G297" s="32">
        <f>G298</f>
        <v>4182.6499999999996</v>
      </c>
      <c r="H297" s="32">
        <f t="shared" ref="H297:I301" si="134">H298</f>
        <v>4182.6499999999996</v>
      </c>
      <c r="I297" s="32">
        <f t="shared" si="134"/>
        <v>4182.01</v>
      </c>
      <c r="J297" s="224"/>
      <c r="K297" s="224"/>
      <c r="L297" s="224"/>
      <c r="M297" s="226"/>
      <c r="N297" s="226"/>
      <c r="O297" s="226"/>
      <c r="P297" s="225">
        <f t="shared" si="122"/>
        <v>99.984698695802905</v>
      </c>
    </row>
    <row r="298" spans="1:16" x14ac:dyDescent="0.25">
      <c r="A298" s="198">
        <v>286</v>
      </c>
      <c r="B298" s="197" t="s">
        <v>44</v>
      </c>
      <c r="C298" s="195" t="s">
        <v>158</v>
      </c>
      <c r="D298" s="195" t="s">
        <v>279</v>
      </c>
      <c r="E298" s="198">
        <v>1000000000</v>
      </c>
      <c r="F298" s="198"/>
      <c r="G298" s="32">
        <f>G299</f>
        <v>4182.6499999999996</v>
      </c>
      <c r="H298" s="32">
        <f t="shared" si="134"/>
        <v>4182.6499999999996</v>
      </c>
      <c r="I298" s="32">
        <f t="shared" si="134"/>
        <v>4182.01</v>
      </c>
      <c r="J298" s="224"/>
      <c r="K298" s="224"/>
      <c r="L298" s="224"/>
      <c r="M298" s="226"/>
      <c r="N298" s="226"/>
      <c r="O298" s="226"/>
      <c r="P298" s="225">
        <f t="shared" si="122"/>
        <v>99.984698695802905</v>
      </c>
    </row>
    <row r="299" spans="1:16" x14ac:dyDescent="0.25">
      <c r="A299" s="198">
        <v>287</v>
      </c>
      <c r="B299" s="197" t="s">
        <v>40</v>
      </c>
      <c r="C299" s="195" t="s">
        <v>158</v>
      </c>
      <c r="D299" s="195" t="s">
        <v>279</v>
      </c>
      <c r="E299" s="198">
        <v>1090000000</v>
      </c>
      <c r="F299" s="198"/>
      <c r="G299" s="32">
        <f>G300</f>
        <v>4182.6499999999996</v>
      </c>
      <c r="H299" s="32">
        <f t="shared" si="134"/>
        <v>4182.6499999999996</v>
      </c>
      <c r="I299" s="32">
        <f t="shared" si="134"/>
        <v>4182.01</v>
      </c>
      <c r="J299" s="224"/>
      <c r="K299" s="224"/>
      <c r="L299" s="224"/>
      <c r="M299" s="226"/>
      <c r="N299" s="226"/>
      <c r="O299" s="226"/>
      <c r="P299" s="225">
        <f t="shared" si="122"/>
        <v>99.984698695802905</v>
      </c>
    </row>
    <row r="300" spans="1:16" ht="30" x14ac:dyDescent="0.25">
      <c r="A300" s="198">
        <v>288</v>
      </c>
      <c r="B300" s="197" t="s">
        <v>420</v>
      </c>
      <c r="C300" s="195" t="s">
        <v>158</v>
      </c>
      <c r="D300" s="195" t="s">
        <v>279</v>
      </c>
      <c r="E300" s="198" t="s">
        <v>421</v>
      </c>
      <c r="F300" s="198"/>
      <c r="G300" s="32">
        <f>G301</f>
        <v>4182.6499999999996</v>
      </c>
      <c r="H300" s="32">
        <f t="shared" si="134"/>
        <v>4182.6499999999996</v>
      </c>
      <c r="I300" s="32">
        <f t="shared" si="134"/>
        <v>4182.01</v>
      </c>
      <c r="J300" s="224"/>
      <c r="K300" s="224"/>
      <c r="L300" s="224"/>
      <c r="M300" s="226"/>
      <c r="N300" s="226"/>
      <c r="O300" s="226"/>
      <c r="P300" s="225">
        <f t="shared" si="122"/>
        <v>99.984698695802905</v>
      </c>
    </row>
    <row r="301" spans="1:16" x14ac:dyDescent="0.25">
      <c r="A301" s="198">
        <v>289</v>
      </c>
      <c r="B301" s="208" t="s">
        <v>21</v>
      </c>
      <c r="C301" s="195" t="s">
        <v>158</v>
      </c>
      <c r="D301" s="195" t="s">
        <v>279</v>
      </c>
      <c r="E301" s="198" t="s">
        <v>421</v>
      </c>
      <c r="F301" s="198">
        <v>200</v>
      </c>
      <c r="G301" s="32">
        <f>G302</f>
        <v>4182.6499999999996</v>
      </c>
      <c r="H301" s="32">
        <f t="shared" si="134"/>
        <v>4182.6499999999996</v>
      </c>
      <c r="I301" s="32">
        <f t="shared" si="134"/>
        <v>4182.01</v>
      </c>
      <c r="J301" s="224"/>
      <c r="K301" s="224"/>
      <c r="L301" s="224"/>
      <c r="M301" s="226"/>
      <c r="N301" s="226"/>
      <c r="O301" s="226"/>
      <c r="P301" s="225">
        <f t="shared" si="122"/>
        <v>99.984698695802905</v>
      </c>
    </row>
    <row r="302" spans="1:16" x14ac:dyDescent="0.25">
      <c r="A302" s="198">
        <v>290</v>
      </c>
      <c r="B302" s="208" t="s">
        <v>22</v>
      </c>
      <c r="C302" s="195" t="s">
        <v>158</v>
      </c>
      <c r="D302" s="195" t="s">
        <v>279</v>
      </c>
      <c r="E302" s="198" t="s">
        <v>421</v>
      </c>
      <c r="F302" s="198">
        <v>240</v>
      </c>
      <c r="G302" s="32">
        <f>70+4173.65-61</f>
        <v>4182.6499999999996</v>
      </c>
      <c r="H302" s="32">
        <v>4182.6499999999996</v>
      </c>
      <c r="I302" s="32">
        <v>4182.01</v>
      </c>
      <c r="J302" s="224">
        <v>4173.6499999999996</v>
      </c>
      <c r="K302" s="224">
        <v>-61</v>
      </c>
      <c r="L302" s="224"/>
      <c r="M302" s="226"/>
      <c r="N302" s="226"/>
      <c r="O302" s="226"/>
      <c r="P302" s="225">
        <f t="shared" si="122"/>
        <v>99.984698695802905</v>
      </c>
    </row>
    <row r="303" spans="1:16" x14ac:dyDescent="0.25">
      <c r="A303" s="198">
        <v>291</v>
      </c>
      <c r="B303" s="62" t="s">
        <v>49</v>
      </c>
      <c r="C303" s="195" t="s">
        <v>158</v>
      </c>
      <c r="D303" s="195" t="s">
        <v>111</v>
      </c>
      <c r="E303" s="198"/>
      <c r="F303" s="198"/>
      <c r="G303" s="32">
        <f>G304+G309</f>
        <v>782</v>
      </c>
      <c r="H303" s="32">
        <f t="shared" ref="H303:I303" si="135">H304+H309</f>
        <v>1322</v>
      </c>
      <c r="I303" s="32">
        <f t="shared" si="135"/>
        <v>1322</v>
      </c>
      <c r="J303" s="224"/>
      <c r="K303" s="224"/>
      <c r="L303" s="224"/>
      <c r="M303" s="226"/>
      <c r="N303" s="226"/>
      <c r="O303" s="226"/>
      <c r="P303" s="225">
        <f t="shared" si="122"/>
        <v>100</v>
      </c>
    </row>
    <row r="304" spans="1:16" ht="30" x14ac:dyDescent="0.25">
      <c r="A304" s="198">
        <v>292</v>
      </c>
      <c r="B304" s="33" t="s">
        <v>417</v>
      </c>
      <c r="C304" s="195" t="s">
        <v>158</v>
      </c>
      <c r="D304" s="195" t="s">
        <v>111</v>
      </c>
      <c r="E304" s="195" t="s">
        <v>185</v>
      </c>
      <c r="F304" s="198"/>
      <c r="G304" s="32">
        <f>G305</f>
        <v>60</v>
      </c>
      <c r="H304" s="32">
        <f t="shared" ref="H304:I307" si="136">H305</f>
        <v>600</v>
      </c>
      <c r="I304" s="32">
        <f t="shared" si="136"/>
        <v>600</v>
      </c>
      <c r="J304" s="224"/>
      <c r="K304" s="224"/>
      <c r="L304" s="224"/>
      <c r="M304" s="226"/>
      <c r="N304" s="226"/>
      <c r="O304" s="226"/>
      <c r="P304" s="225">
        <f t="shared" si="122"/>
        <v>100</v>
      </c>
    </row>
    <row r="305" spans="1:16" x14ac:dyDescent="0.25">
      <c r="A305" s="198">
        <v>293</v>
      </c>
      <c r="B305" s="201" t="s">
        <v>299</v>
      </c>
      <c r="C305" s="195" t="s">
        <v>158</v>
      </c>
      <c r="D305" s="195" t="s">
        <v>111</v>
      </c>
      <c r="E305" s="195" t="s">
        <v>430</v>
      </c>
      <c r="F305" s="198"/>
      <c r="G305" s="32">
        <f>G306</f>
        <v>60</v>
      </c>
      <c r="H305" s="32">
        <f t="shared" si="136"/>
        <v>600</v>
      </c>
      <c r="I305" s="32">
        <f t="shared" si="136"/>
        <v>600</v>
      </c>
      <c r="J305" s="224"/>
      <c r="K305" s="224"/>
      <c r="L305" s="224"/>
      <c r="M305" s="226"/>
      <c r="N305" s="226"/>
      <c r="O305" s="226"/>
      <c r="P305" s="225">
        <f t="shared" si="122"/>
        <v>100</v>
      </c>
    </row>
    <row r="306" spans="1:16" x14ac:dyDescent="0.25">
      <c r="A306" s="198">
        <v>294</v>
      </c>
      <c r="B306" s="199" t="s">
        <v>50</v>
      </c>
      <c r="C306" s="195" t="s">
        <v>158</v>
      </c>
      <c r="D306" s="195" t="s">
        <v>111</v>
      </c>
      <c r="E306" s="195" t="s">
        <v>434</v>
      </c>
      <c r="F306" s="198"/>
      <c r="G306" s="32">
        <f>G307</f>
        <v>60</v>
      </c>
      <c r="H306" s="32">
        <f t="shared" si="136"/>
        <v>600</v>
      </c>
      <c r="I306" s="32">
        <f t="shared" si="136"/>
        <v>600</v>
      </c>
      <c r="J306" s="224"/>
      <c r="K306" s="224"/>
      <c r="L306" s="224"/>
      <c r="M306" s="226"/>
      <c r="N306" s="226"/>
      <c r="O306" s="226"/>
      <c r="P306" s="225">
        <f t="shared" si="122"/>
        <v>100</v>
      </c>
    </row>
    <row r="307" spans="1:16" x14ac:dyDescent="0.25">
      <c r="A307" s="198">
        <v>295</v>
      </c>
      <c r="B307" s="208" t="s">
        <v>33</v>
      </c>
      <c r="C307" s="195" t="s">
        <v>158</v>
      </c>
      <c r="D307" s="195" t="s">
        <v>111</v>
      </c>
      <c r="E307" s="195" t="s">
        <v>434</v>
      </c>
      <c r="F307" s="198">
        <v>800</v>
      </c>
      <c r="G307" s="32">
        <f>G308</f>
        <v>60</v>
      </c>
      <c r="H307" s="32">
        <f t="shared" si="136"/>
        <v>600</v>
      </c>
      <c r="I307" s="32">
        <f t="shared" si="136"/>
        <v>600</v>
      </c>
      <c r="J307" s="224"/>
      <c r="K307" s="224"/>
      <c r="L307" s="224"/>
      <c r="M307" s="226"/>
      <c r="N307" s="226"/>
      <c r="O307" s="226"/>
      <c r="P307" s="225">
        <f t="shared" si="122"/>
        <v>100</v>
      </c>
    </row>
    <row r="308" spans="1:16" ht="30" x14ac:dyDescent="0.25">
      <c r="A308" s="198">
        <v>296</v>
      </c>
      <c r="B308" s="208" t="s">
        <v>46</v>
      </c>
      <c r="C308" s="195" t="s">
        <v>158</v>
      </c>
      <c r="D308" s="195" t="s">
        <v>111</v>
      </c>
      <c r="E308" s="195" t="s">
        <v>434</v>
      </c>
      <c r="F308" s="198">
        <v>810</v>
      </c>
      <c r="G308" s="32">
        <v>60</v>
      </c>
      <c r="H308" s="32">
        <v>600</v>
      </c>
      <c r="I308" s="32">
        <v>600</v>
      </c>
      <c r="J308" s="224">
        <v>-60</v>
      </c>
      <c r="K308" s="224"/>
      <c r="L308" s="224"/>
      <c r="M308" s="226"/>
      <c r="N308" s="226"/>
      <c r="O308" s="226"/>
      <c r="P308" s="225">
        <f t="shared" si="122"/>
        <v>100</v>
      </c>
    </row>
    <row r="309" spans="1:16" ht="30" x14ac:dyDescent="0.25">
      <c r="A309" s="198">
        <v>297</v>
      </c>
      <c r="B309" s="197" t="s">
        <v>255</v>
      </c>
      <c r="C309" s="195" t="s">
        <v>158</v>
      </c>
      <c r="D309" s="195" t="s">
        <v>111</v>
      </c>
      <c r="E309" s="52">
        <v>1100000000</v>
      </c>
      <c r="F309" s="198"/>
      <c r="G309" s="32">
        <f>G310</f>
        <v>722</v>
      </c>
      <c r="H309" s="32">
        <f t="shared" ref="H309:I311" si="137">H310</f>
        <v>722</v>
      </c>
      <c r="I309" s="32">
        <f t="shared" si="137"/>
        <v>722</v>
      </c>
      <c r="J309" s="224"/>
      <c r="K309" s="224"/>
      <c r="L309" s="224"/>
      <c r="M309" s="226"/>
      <c r="N309" s="226"/>
      <c r="O309" s="226"/>
      <c r="P309" s="225">
        <f t="shared" si="122"/>
        <v>100</v>
      </c>
    </row>
    <row r="310" spans="1:16" ht="30" x14ac:dyDescent="0.25">
      <c r="A310" s="198">
        <v>298</v>
      </c>
      <c r="B310" s="197" t="s">
        <v>145</v>
      </c>
      <c r="C310" s="195" t="s">
        <v>158</v>
      </c>
      <c r="D310" s="195" t="s">
        <v>111</v>
      </c>
      <c r="E310" s="52">
        <v>1130000000</v>
      </c>
      <c r="F310" s="198"/>
      <c r="G310" s="32">
        <f>G311</f>
        <v>722</v>
      </c>
      <c r="H310" s="32">
        <f t="shared" si="137"/>
        <v>722</v>
      </c>
      <c r="I310" s="32">
        <f t="shared" si="137"/>
        <v>722</v>
      </c>
      <c r="J310" s="224"/>
      <c r="K310" s="224"/>
      <c r="L310" s="224"/>
      <c r="M310" s="226"/>
      <c r="N310" s="226"/>
      <c r="O310" s="226"/>
      <c r="P310" s="225">
        <f t="shared" si="122"/>
        <v>100</v>
      </c>
    </row>
    <row r="311" spans="1:16" ht="30" x14ac:dyDescent="0.25">
      <c r="A311" s="198">
        <v>299</v>
      </c>
      <c r="B311" s="203" t="s">
        <v>256</v>
      </c>
      <c r="C311" s="195" t="s">
        <v>158</v>
      </c>
      <c r="D311" s="195" t="s">
        <v>111</v>
      </c>
      <c r="E311" s="52" t="s">
        <v>280</v>
      </c>
      <c r="F311" s="52">
        <v>200</v>
      </c>
      <c r="G311" s="32">
        <f>G312</f>
        <v>722</v>
      </c>
      <c r="H311" s="32">
        <f t="shared" si="137"/>
        <v>722</v>
      </c>
      <c r="I311" s="32">
        <f t="shared" si="137"/>
        <v>722</v>
      </c>
      <c r="J311" s="224"/>
      <c r="K311" s="224"/>
      <c r="L311" s="224"/>
      <c r="M311" s="226"/>
      <c r="N311" s="226"/>
      <c r="O311" s="226"/>
      <c r="P311" s="225">
        <f t="shared" si="122"/>
        <v>100</v>
      </c>
    </row>
    <row r="312" spans="1:16" ht="18.75" customHeight="1" x14ac:dyDescent="0.25">
      <c r="A312" s="198">
        <v>300</v>
      </c>
      <c r="B312" s="208" t="s">
        <v>22</v>
      </c>
      <c r="C312" s="195" t="s">
        <v>158</v>
      </c>
      <c r="D312" s="195" t="s">
        <v>111</v>
      </c>
      <c r="E312" s="52" t="s">
        <v>280</v>
      </c>
      <c r="F312" s="52">
        <v>240</v>
      </c>
      <c r="G312" s="32">
        <v>722</v>
      </c>
      <c r="H312" s="32">
        <v>722</v>
      </c>
      <c r="I312" s="32">
        <v>722</v>
      </c>
      <c r="J312" s="224"/>
      <c r="K312" s="224"/>
      <c r="L312" s="224"/>
      <c r="M312" s="226"/>
      <c r="N312" s="226"/>
      <c r="O312" s="226"/>
      <c r="P312" s="225">
        <f t="shared" si="122"/>
        <v>100</v>
      </c>
    </row>
    <row r="313" spans="1:16" x14ac:dyDescent="0.25">
      <c r="A313" s="198">
        <v>301</v>
      </c>
      <c r="B313" s="62" t="s">
        <v>112</v>
      </c>
      <c r="C313" s="195" t="s">
        <v>158</v>
      </c>
      <c r="D313" s="195" t="s">
        <v>113</v>
      </c>
      <c r="E313" s="198"/>
      <c r="F313" s="198"/>
      <c r="G313" s="32">
        <f>G314</f>
        <v>68704.600000000006</v>
      </c>
      <c r="H313" s="32">
        <f t="shared" ref="H313:I313" si="138">H314</f>
        <v>68704.600000000006</v>
      </c>
      <c r="I313" s="32">
        <f t="shared" si="138"/>
        <v>68686.39</v>
      </c>
      <c r="J313" s="224"/>
      <c r="K313" s="224"/>
      <c r="L313" s="224"/>
      <c r="M313" s="226"/>
      <c r="N313" s="226"/>
      <c r="O313" s="226"/>
      <c r="P313" s="225">
        <f t="shared" si="122"/>
        <v>99.973495224482775</v>
      </c>
    </row>
    <row r="314" spans="1:16" x14ac:dyDescent="0.25">
      <c r="A314" s="198">
        <v>302</v>
      </c>
      <c r="B314" s="199" t="s">
        <v>53</v>
      </c>
      <c r="C314" s="195" t="s">
        <v>158</v>
      </c>
      <c r="D314" s="195" t="s">
        <v>115</v>
      </c>
      <c r="E314" s="198"/>
      <c r="F314" s="198"/>
      <c r="G314" s="32">
        <f>G315</f>
        <v>68704.600000000006</v>
      </c>
      <c r="H314" s="32">
        <f t="shared" ref="H314:I314" si="139">H315</f>
        <v>68704.600000000006</v>
      </c>
      <c r="I314" s="32">
        <f t="shared" si="139"/>
        <v>68686.39</v>
      </c>
      <c r="J314" s="224"/>
      <c r="K314" s="224"/>
      <c r="L314" s="224"/>
      <c r="M314" s="226"/>
      <c r="N314" s="226"/>
      <c r="O314" s="226"/>
      <c r="P314" s="225">
        <f t="shared" si="122"/>
        <v>99.973495224482775</v>
      </c>
    </row>
    <row r="315" spans="1:16" ht="30" x14ac:dyDescent="0.25">
      <c r="A315" s="198">
        <v>303</v>
      </c>
      <c r="B315" s="199" t="s">
        <v>54</v>
      </c>
      <c r="C315" s="195" t="s">
        <v>158</v>
      </c>
      <c r="D315" s="195" t="s">
        <v>115</v>
      </c>
      <c r="E315" s="195" t="s">
        <v>176</v>
      </c>
      <c r="F315" s="198"/>
      <c r="G315" s="32">
        <f>G316</f>
        <v>68704.600000000006</v>
      </c>
      <c r="H315" s="32">
        <f t="shared" ref="H315:I315" si="140">H316</f>
        <v>68704.600000000006</v>
      </c>
      <c r="I315" s="32">
        <f t="shared" si="140"/>
        <v>68686.39</v>
      </c>
      <c r="J315" s="224"/>
      <c r="K315" s="224"/>
      <c r="L315" s="224"/>
      <c r="M315" s="226"/>
      <c r="N315" s="226"/>
      <c r="O315" s="226"/>
      <c r="P315" s="225">
        <f t="shared" si="122"/>
        <v>99.973495224482775</v>
      </c>
    </row>
    <row r="316" spans="1:16" x14ac:dyDescent="0.25">
      <c r="A316" s="198">
        <v>304</v>
      </c>
      <c r="B316" s="37" t="s">
        <v>40</v>
      </c>
      <c r="C316" s="195" t="s">
        <v>158</v>
      </c>
      <c r="D316" s="195" t="s">
        <v>115</v>
      </c>
      <c r="E316" s="195" t="s">
        <v>186</v>
      </c>
      <c r="F316" s="198"/>
      <c r="G316" s="32">
        <f>G317+G320</f>
        <v>68704.600000000006</v>
      </c>
      <c r="H316" s="32">
        <f t="shared" ref="H316:I316" si="141">H317+H320</f>
        <v>68704.600000000006</v>
      </c>
      <c r="I316" s="32">
        <f t="shared" si="141"/>
        <v>68686.39</v>
      </c>
      <c r="J316" s="224"/>
      <c r="K316" s="224"/>
      <c r="L316" s="224"/>
      <c r="M316" s="226"/>
      <c r="N316" s="226"/>
      <c r="O316" s="226"/>
      <c r="P316" s="225">
        <f t="shared" si="122"/>
        <v>99.973495224482775</v>
      </c>
    </row>
    <row r="317" spans="1:16" ht="45" x14ac:dyDescent="0.25">
      <c r="A317" s="198">
        <v>305</v>
      </c>
      <c r="B317" s="201" t="s">
        <v>300</v>
      </c>
      <c r="C317" s="195" t="s">
        <v>158</v>
      </c>
      <c r="D317" s="195" t="s">
        <v>115</v>
      </c>
      <c r="E317" s="195" t="s">
        <v>187</v>
      </c>
      <c r="F317" s="198"/>
      <c r="G317" s="32">
        <f>G318</f>
        <v>24092.800000000003</v>
      </c>
      <c r="H317" s="32">
        <f t="shared" ref="H317:I318" si="142">H318</f>
        <v>24092.799999999999</v>
      </c>
      <c r="I317" s="32">
        <f t="shared" si="142"/>
        <v>24074.59</v>
      </c>
      <c r="J317" s="224"/>
      <c r="K317" s="121"/>
      <c r="L317" s="121"/>
      <c r="M317" s="227"/>
      <c r="N317" s="226"/>
      <c r="O317" s="226"/>
      <c r="P317" s="225">
        <f t="shared" si="122"/>
        <v>99.924417253287288</v>
      </c>
    </row>
    <row r="318" spans="1:16" x14ac:dyDescent="0.25">
      <c r="A318" s="198">
        <v>306</v>
      </c>
      <c r="B318" s="208" t="s">
        <v>33</v>
      </c>
      <c r="C318" s="195" t="s">
        <v>158</v>
      </c>
      <c r="D318" s="195" t="s">
        <v>115</v>
      </c>
      <c r="E318" s="195" t="s">
        <v>187</v>
      </c>
      <c r="F318" s="198">
        <v>800</v>
      </c>
      <c r="G318" s="32">
        <f>G319</f>
        <v>24092.800000000003</v>
      </c>
      <c r="H318" s="32">
        <f t="shared" si="142"/>
        <v>24092.799999999999</v>
      </c>
      <c r="I318" s="32">
        <f t="shared" si="142"/>
        <v>24074.59</v>
      </c>
      <c r="J318" s="224"/>
      <c r="K318" s="224"/>
      <c r="L318" s="224"/>
      <c r="M318" s="226"/>
      <c r="N318" s="226"/>
      <c r="O318" s="226"/>
      <c r="P318" s="225">
        <f t="shared" si="122"/>
        <v>99.924417253287288</v>
      </c>
    </row>
    <row r="319" spans="1:16" ht="30" x14ac:dyDescent="0.25">
      <c r="A319" s="198">
        <v>307</v>
      </c>
      <c r="B319" s="208" t="s">
        <v>46</v>
      </c>
      <c r="C319" s="195" t="s">
        <v>158</v>
      </c>
      <c r="D319" s="195" t="s">
        <v>115</v>
      </c>
      <c r="E319" s="195" t="s">
        <v>187</v>
      </c>
      <c r="F319" s="198">
        <v>810</v>
      </c>
      <c r="G319" s="36">
        <f>22966.4+1126.4</f>
        <v>24092.800000000003</v>
      </c>
      <c r="H319" s="36">
        <v>24092.799999999999</v>
      </c>
      <c r="I319" s="36">
        <v>24074.59</v>
      </c>
      <c r="J319" s="224"/>
      <c r="K319" s="224"/>
      <c r="L319" s="224"/>
      <c r="M319" s="226"/>
      <c r="N319" s="226"/>
      <c r="O319" s="226"/>
      <c r="P319" s="225">
        <f t="shared" si="122"/>
        <v>99.924417253287288</v>
      </c>
    </row>
    <row r="320" spans="1:16" x14ac:dyDescent="0.25">
      <c r="A320" s="198">
        <v>308</v>
      </c>
      <c r="B320" s="201" t="s">
        <v>281</v>
      </c>
      <c r="C320" s="195" t="s">
        <v>158</v>
      </c>
      <c r="D320" s="195" t="s">
        <v>115</v>
      </c>
      <c r="E320" s="195" t="s">
        <v>188</v>
      </c>
      <c r="F320" s="198"/>
      <c r="G320" s="32">
        <f>G321</f>
        <v>44611.8</v>
      </c>
      <c r="H320" s="32">
        <f t="shared" ref="H320:I321" si="143">H321</f>
        <v>44611.8</v>
      </c>
      <c r="I320" s="32">
        <f t="shared" si="143"/>
        <v>44611.8</v>
      </c>
      <c r="J320" s="224"/>
      <c r="K320" s="224"/>
      <c r="L320" s="224"/>
      <c r="M320" s="226"/>
      <c r="N320" s="226"/>
      <c r="O320" s="226"/>
      <c r="P320" s="225">
        <f t="shared" si="122"/>
        <v>100</v>
      </c>
    </row>
    <row r="321" spans="1:16" x14ac:dyDescent="0.25">
      <c r="A321" s="198">
        <v>309</v>
      </c>
      <c r="B321" s="208" t="s">
        <v>33</v>
      </c>
      <c r="C321" s="195" t="s">
        <v>158</v>
      </c>
      <c r="D321" s="195" t="s">
        <v>115</v>
      </c>
      <c r="E321" s="195" t="s">
        <v>188</v>
      </c>
      <c r="F321" s="198">
        <v>800</v>
      </c>
      <c r="G321" s="32">
        <f>G322</f>
        <v>44611.8</v>
      </c>
      <c r="H321" s="32">
        <f t="shared" si="143"/>
        <v>44611.8</v>
      </c>
      <c r="I321" s="32">
        <f t="shared" si="143"/>
        <v>44611.8</v>
      </c>
      <c r="J321" s="224"/>
      <c r="K321" s="224"/>
      <c r="L321" s="224"/>
      <c r="M321" s="226"/>
      <c r="N321" s="226"/>
      <c r="O321" s="226"/>
      <c r="P321" s="225">
        <f t="shared" si="122"/>
        <v>100</v>
      </c>
    </row>
    <row r="322" spans="1:16" ht="30" x14ac:dyDescent="0.25">
      <c r="A322" s="198">
        <v>310</v>
      </c>
      <c r="B322" s="208" t="s">
        <v>46</v>
      </c>
      <c r="C322" s="195" t="s">
        <v>158</v>
      </c>
      <c r="D322" s="195" t="s">
        <v>115</v>
      </c>
      <c r="E322" s="195" t="s">
        <v>188</v>
      </c>
      <c r="F322" s="198">
        <v>810</v>
      </c>
      <c r="G322" s="36">
        <f>36769.9+7841.9</f>
        <v>44611.8</v>
      </c>
      <c r="H322" s="36">
        <v>44611.8</v>
      </c>
      <c r="I322" s="36">
        <v>44611.8</v>
      </c>
      <c r="J322" s="224"/>
      <c r="K322" s="224"/>
      <c r="L322" s="224"/>
      <c r="M322" s="226"/>
      <c r="N322" s="226"/>
      <c r="O322" s="226"/>
      <c r="P322" s="225">
        <f t="shared" si="122"/>
        <v>100</v>
      </c>
    </row>
    <row r="323" spans="1:16" x14ac:dyDescent="0.25">
      <c r="A323" s="198">
        <v>311</v>
      </c>
      <c r="B323" s="203" t="s">
        <v>522</v>
      </c>
      <c r="C323" s="195" t="s">
        <v>158</v>
      </c>
      <c r="D323" s="195" t="s">
        <v>523</v>
      </c>
      <c r="E323" s="195"/>
      <c r="F323" s="198"/>
      <c r="G323" s="36">
        <f>G324</f>
        <v>487.45</v>
      </c>
      <c r="H323" s="36">
        <f t="shared" ref="H323:I324" si="144">H324</f>
        <v>487.45</v>
      </c>
      <c r="I323" s="36">
        <f t="shared" si="144"/>
        <v>0</v>
      </c>
      <c r="J323" s="224"/>
      <c r="K323" s="224"/>
      <c r="L323" s="224"/>
      <c r="M323" s="226"/>
      <c r="N323" s="226"/>
      <c r="O323" s="226"/>
      <c r="P323" s="225">
        <f t="shared" si="122"/>
        <v>0</v>
      </c>
    </row>
    <row r="324" spans="1:16" x14ac:dyDescent="0.25">
      <c r="A324" s="198">
        <v>312</v>
      </c>
      <c r="B324" s="203" t="s">
        <v>531</v>
      </c>
      <c r="C324" s="195" t="s">
        <v>158</v>
      </c>
      <c r="D324" s="195" t="s">
        <v>524</v>
      </c>
      <c r="E324" s="195"/>
      <c r="F324" s="198"/>
      <c r="G324" s="36">
        <f>G325</f>
        <v>487.45</v>
      </c>
      <c r="H324" s="36">
        <f t="shared" si="144"/>
        <v>487.45</v>
      </c>
      <c r="I324" s="36">
        <f t="shared" si="144"/>
        <v>0</v>
      </c>
      <c r="J324" s="224"/>
      <c r="K324" s="224"/>
      <c r="L324" s="224"/>
      <c r="M324" s="226"/>
      <c r="N324" s="226"/>
      <c r="O324" s="226"/>
      <c r="P324" s="225">
        <f t="shared" si="122"/>
        <v>0</v>
      </c>
    </row>
    <row r="325" spans="1:16" ht="30" x14ac:dyDescent="0.25">
      <c r="A325" s="198">
        <v>313</v>
      </c>
      <c r="B325" s="33" t="s">
        <v>417</v>
      </c>
      <c r="C325" s="195" t="s">
        <v>158</v>
      </c>
      <c r="D325" s="195" t="s">
        <v>524</v>
      </c>
      <c r="E325" s="53" t="s">
        <v>185</v>
      </c>
      <c r="F325" s="198"/>
      <c r="G325" s="32">
        <f t="shared" ref="G325:I330" si="145">G326</f>
        <v>487.45</v>
      </c>
      <c r="H325" s="32">
        <f t="shared" si="145"/>
        <v>487.45</v>
      </c>
      <c r="I325" s="32">
        <f t="shared" si="145"/>
        <v>0</v>
      </c>
      <c r="J325" s="224"/>
      <c r="K325" s="224"/>
      <c r="L325" s="224"/>
      <c r="M325" s="226"/>
      <c r="N325" s="226"/>
      <c r="O325" s="226"/>
      <c r="P325" s="225">
        <f t="shared" si="122"/>
        <v>0</v>
      </c>
    </row>
    <row r="326" spans="1:16" ht="15.75" x14ac:dyDescent="0.25">
      <c r="A326" s="198">
        <v>314</v>
      </c>
      <c r="B326" s="33" t="s">
        <v>275</v>
      </c>
      <c r="C326" s="195" t="s">
        <v>158</v>
      </c>
      <c r="D326" s="195" t="s">
        <v>524</v>
      </c>
      <c r="E326" s="53" t="s">
        <v>418</v>
      </c>
      <c r="F326" s="198"/>
      <c r="G326" s="32">
        <f t="shared" si="145"/>
        <v>487.45</v>
      </c>
      <c r="H326" s="32">
        <f t="shared" si="145"/>
        <v>487.45</v>
      </c>
      <c r="I326" s="32">
        <f t="shared" si="145"/>
        <v>0</v>
      </c>
      <c r="J326" s="224"/>
      <c r="K326" s="224"/>
      <c r="L326" s="224"/>
      <c r="M326" s="226"/>
      <c r="N326" s="226"/>
      <c r="O326" s="226"/>
      <c r="P326" s="225">
        <f t="shared" si="122"/>
        <v>0</v>
      </c>
    </row>
    <row r="327" spans="1:16" ht="30" x14ac:dyDescent="0.25">
      <c r="A327" s="198">
        <v>315</v>
      </c>
      <c r="B327" s="201" t="s">
        <v>52</v>
      </c>
      <c r="C327" s="195" t="s">
        <v>158</v>
      </c>
      <c r="D327" s="195" t="s">
        <v>524</v>
      </c>
      <c r="E327" s="195" t="s">
        <v>433</v>
      </c>
      <c r="F327" s="198"/>
      <c r="G327" s="32">
        <f>G328+G330</f>
        <v>487.45</v>
      </c>
      <c r="H327" s="32">
        <f t="shared" ref="H327:I327" si="146">H328+H330</f>
        <v>487.45</v>
      </c>
      <c r="I327" s="32">
        <f t="shared" si="146"/>
        <v>0</v>
      </c>
      <c r="J327" s="224"/>
      <c r="K327" s="224"/>
      <c r="L327" s="224"/>
      <c r="M327" s="226"/>
      <c r="N327" s="226"/>
      <c r="O327" s="226"/>
      <c r="P327" s="225">
        <f t="shared" si="122"/>
        <v>0</v>
      </c>
    </row>
    <row r="328" spans="1:16" ht="45" x14ac:dyDescent="0.25">
      <c r="A328" s="198">
        <v>316</v>
      </c>
      <c r="B328" s="208" t="s">
        <v>16</v>
      </c>
      <c r="C328" s="195" t="s">
        <v>158</v>
      </c>
      <c r="D328" s="195" t="s">
        <v>524</v>
      </c>
      <c r="E328" s="195" t="s">
        <v>433</v>
      </c>
      <c r="F328" s="198">
        <v>100</v>
      </c>
      <c r="G328" s="32">
        <f>G329</f>
        <v>46.3</v>
      </c>
      <c r="H328" s="32">
        <f t="shared" ref="H328:I328" si="147">H329</f>
        <v>46.3</v>
      </c>
      <c r="I328" s="32">
        <f t="shared" si="147"/>
        <v>0</v>
      </c>
      <c r="J328" s="224"/>
      <c r="K328" s="224"/>
      <c r="L328" s="224"/>
      <c r="M328" s="226"/>
      <c r="N328" s="226"/>
      <c r="O328" s="226"/>
      <c r="P328" s="225">
        <f t="shared" si="122"/>
        <v>0</v>
      </c>
    </row>
    <row r="329" spans="1:16" x14ac:dyDescent="0.25">
      <c r="A329" s="198">
        <v>317</v>
      </c>
      <c r="B329" s="208" t="s">
        <v>17</v>
      </c>
      <c r="C329" s="195" t="s">
        <v>158</v>
      </c>
      <c r="D329" s="195" t="s">
        <v>524</v>
      </c>
      <c r="E329" s="195" t="s">
        <v>433</v>
      </c>
      <c r="F329" s="198">
        <v>120</v>
      </c>
      <c r="G329" s="32">
        <f>45.8+0.5</f>
        <v>46.3</v>
      </c>
      <c r="H329" s="32">
        <v>46.3</v>
      </c>
      <c r="I329" s="32">
        <v>0</v>
      </c>
      <c r="J329" s="224">
        <v>45.8</v>
      </c>
      <c r="K329" s="224"/>
      <c r="L329" s="224"/>
      <c r="M329" s="226"/>
      <c r="N329" s="226"/>
      <c r="O329" s="226"/>
      <c r="P329" s="225">
        <f t="shared" si="122"/>
        <v>0</v>
      </c>
    </row>
    <row r="330" spans="1:16" x14ac:dyDescent="0.25">
      <c r="A330" s="198">
        <v>318</v>
      </c>
      <c r="B330" s="208" t="s">
        <v>21</v>
      </c>
      <c r="C330" s="195" t="s">
        <v>158</v>
      </c>
      <c r="D330" s="195" t="s">
        <v>524</v>
      </c>
      <c r="E330" s="195" t="s">
        <v>433</v>
      </c>
      <c r="F330" s="198">
        <v>200</v>
      </c>
      <c r="G330" s="32">
        <f t="shared" si="145"/>
        <v>441.15</v>
      </c>
      <c r="H330" s="32">
        <v>441.15</v>
      </c>
      <c r="I330" s="32">
        <v>0</v>
      </c>
      <c r="J330" s="224"/>
      <c r="K330" s="224"/>
      <c r="L330" s="224"/>
      <c r="M330" s="226"/>
      <c r="N330" s="226"/>
      <c r="O330" s="226"/>
      <c r="P330" s="225">
        <f t="shared" si="122"/>
        <v>0</v>
      </c>
    </row>
    <row r="331" spans="1:16" x14ac:dyDescent="0.25">
      <c r="A331" s="198">
        <v>319</v>
      </c>
      <c r="B331" s="208" t="s">
        <v>22</v>
      </c>
      <c r="C331" s="195" t="s">
        <v>158</v>
      </c>
      <c r="D331" s="195" t="s">
        <v>524</v>
      </c>
      <c r="E331" s="195" t="s">
        <v>433</v>
      </c>
      <c r="F331" s="198">
        <v>240</v>
      </c>
      <c r="G331" s="32">
        <f>202.1+239.05</f>
        <v>441.15</v>
      </c>
      <c r="H331" s="32">
        <v>441.15</v>
      </c>
      <c r="I331" s="32">
        <v>0</v>
      </c>
      <c r="J331" s="224">
        <v>239.05</v>
      </c>
      <c r="K331" s="224"/>
      <c r="L331" s="224"/>
      <c r="M331" s="226"/>
      <c r="N331" s="226"/>
      <c r="O331" s="226"/>
      <c r="P331" s="225">
        <f t="shared" si="122"/>
        <v>0</v>
      </c>
    </row>
    <row r="332" spans="1:16" x14ac:dyDescent="0.25">
      <c r="A332" s="198">
        <v>320</v>
      </c>
      <c r="B332" s="62" t="s">
        <v>116</v>
      </c>
      <c r="C332" s="195" t="s">
        <v>158</v>
      </c>
      <c r="D332" s="195" t="s">
        <v>117</v>
      </c>
      <c r="E332" s="198"/>
      <c r="F332" s="198"/>
      <c r="G332" s="32">
        <f>G339+G333</f>
        <v>82627.78</v>
      </c>
      <c r="H332" s="32">
        <f t="shared" ref="H332:I332" si="148">H339+H333</f>
        <v>82627.78</v>
      </c>
      <c r="I332" s="32">
        <f t="shared" si="148"/>
        <v>75663.98</v>
      </c>
      <c r="J332" s="224"/>
      <c r="K332" s="224"/>
      <c r="L332" s="224"/>
      <c r="M332" s="226"/>
      <c r="N332" s="226"/>
      <c r="O332" s="226"/>
      <c r="P332" s="225">
        <f t="shared" si="122"/>
        <v>91.572083868161528</v>
      </c>
    </row>
    <row r="333" spans="1:16" x14ac:dyDescent="0.25">
      <c r="A333" s="198">
        <v>321</v>
      </c>
      <c r="B333" s="199" t="s">
        <v>67</v>
      </c>
      <c r="C333" s="195" t="s">
        <v>158</v>
      </c>
      <c r="D333" s="195" t="s">
        <v>120</v>
      </c>
      <c r="E333" s="220"/>
      <c r="F333" s="220"/>
      <c r="G333" s="205">
        <f>G334</f>
        <v>80808.08</v>
      </c>
      <c r="H333" s="205">
        <f t="shared" ref="H333:I337" si="149">H334</f>
        <v>80808.08</v>
      </c>
      <c r="I333" s="205">
        <f t="shared" si="149"/>
        <v>73922</v>
      </c>
      <c r="J333" s="224"/>
      <c r="K333" s="224"/>
      <c r="L333" s="224"/>
      <c r="M333" s="226"/>
      <c r="N333" s="226"/>
      <c r="O333" s="226"/>
      <c r="P333" s="225">
        <f t="shared" si="122"/>
        <v>91.478475914784767</v>
      </c>
    </row>
    <row r="334" spans="1:16" ht="30" x14ac:dyDescent="0.25">
      <c r="A334" s="198">
        <v>322</v>
      </c>
      <c r="B334" s="199" t="s">
        <v>56</v>
      </c>
      <c r="C334" s="195" t="s">
        <v>158</v>
      </c>
      <c r="D334" s="195" t="s">
        <v>120</v>
      </c>
      <c r="E334" s="195" t="s">
        <v>189</v>
      </c>
      <c r="F334" s="198"/>
      <c r="G334" s="32">
        <f>G335</f>
        <v>80808.08</v>
      </c>
      <c r="H334" s="32">
        <f t="shared" si="149"/>
        <v>80808.08</v>
      </c>
      <c r="I334" s="32">
        <f t="shared" si="149"/>
        <v>73922</v>
      </c>
      <c r="J334" s="224"/>
      <c r="K334" s="224"/>
      <c r="L334" s="224"/>
      <c r="M334" s="226"/>
      <c r="N334" s="226"/>
      <c r="O334" s="226"/>
      <c r="P334" s="225">
        <f t="shared" ref="P334:P397" si="150">I334/H334*100</f>
        <v>91.478475914784767</v>
      </c>
    </row>
    <row r="335" spans="1:16" x14ac:dyDescent="0.25">
      <c r="A335" s="198">
        <v>323</v>
      </c>
      <c r="B335" s="199" t="s">
        <v>138</v>
      </c>
      <c r="C335" s="195" t="s">
        <v>158</v>
      </c>
      <c r="D335" s="195" t="s">
        <v>120</v>
      </c>
      <c r="E335" s="195" t="s">
        <v>204</v>
      </c>
      <c r="F335" s="198"/>
      <c r="G335" s="32">
        <f>G336</f>
        <v>80808.08</v>
      </c>
      <c r="H335" s="32">
        <f t="shared" si="149"/>
        <v>80808.08</v>
      </c>
      <c r="I335" s="32">
        <f t="shared" si="149"/>
        <v>73922</v>
      </c>
      <c r="J335" s="224"/>
      <c r="K335" s="224"/>
      <c r="L335" s="224"/>
      <c r="M335" s="226"/>
      <c r="N335" s="226"/>
      <c r="O335" s="226"/>
      <c r="P335" s="225">
        <f t="shared" si="150"/>
        <v>91.478475914784767</v>
      </c>
    </row>
    <row r="336" spans="1:16" x14ac:dyDescent="0.25">
      <c r="A336" s="198">
        <v>324</v>
      </c>
      <c r="B336" s="203" t="s">
        <v>532</v>
      </c>
      <c r="C336" s="195" t="s">
        <v>158</v>
      </c>
      <c r="D336" s="195" t="s">
        <v>120</v>
      </c>
      <c r="E336" s="195" t="s">
        <v>521</v>
      </c>
      <c r="F336" s="198"/>
      <c r="G336" s="32">
        <f>G337</f>
        <v>80808.08</v>
      </c>
      <c r="H336" s="32">
        <f t="shared" si="149"/>
        <v>80808.08</v>
      </c>
      <c r="I336" s="32">
        <f t="shared" si="149"/>
        <v>73922</v>
      </c>
      <c r="J336" s="224"/>
      <c r="K336" s="224"/>
      <c r="L336" s="224"/>
      <c r="M336" s="226"/>
      <c r="N336" s="226"/>
      <c r="O336" s="226"/>
      <c r="P336" s="225">
        <f t="shared" si="150"/>
        <v>91.478475914784767</v>
      </c>
    </row>
    <row r="337" spans="1:16" ht="30" x14ac:dyDescent="0.25">
      <c r="A337" s="198">
        <v>325</v>
      </c>
      <c r="B337" s="203" t="s">
        <v>160</v>
      </c>
      <c r="C337" s="195" t="s">
        <v>158</v>
      </c>
      <c r="D337" s="195" t="s">
        <v>120</v>
      </c>
      <c r="E337" s="195" t="s">
        <v>521</v>
      </c>
      <c r="F337" s="198">
        <v>400</v>
      </c>
      <c r="G337" s="32">
        <f>G338</f>
        <v>80808.08</v>
      </c>
      <c r="H337" s="32">
        <f t="shared" si="149"/>
        <v>80808.08</v>
      </c>
      <c r="I337" s="32">
        <f t="shared" si="149"/>
        <v>73922</v>
      </c>
      <c r="J337" s="224"/>
      <c r="K337" s="224"/>
      <c r="L337" s="224"/>
      <c r="M337" s="226"/>
      <c r="N337" s="226"/>
      <c r="O337" s="226"/>
      <c r="P337" s="225">
        <f t="shared" si="150"/>
        <v>91.478475914784767</v>
      </c>
    </row>
    <row r="338" spans="1:16" x14ac:dyDescent="0.25">
      <c r="A338" s="198">
        <v>326</v>
      </c>
      <c r="B338" s="203" t="s">
        <v>161</v>
      </c>
      <c r="C338" s="195" t="s">
        <v>158</v>
      </c>
      <c r="D338" s="195" t="s">
        <v>120</v>
      </c>
      <c r="E338" s="195" t="s">
        <v>521</v>
      </c>
      <c r="F338" s="198">
        <v>410</v>
      </c>
      <c r="G338" s="32">
        <f>80000+808.08</f>
        <v>80808.08</v>
      </c>
      <c r="H338" s="32">
        <v>80808.08</v>
      </c>
      <c r="I338" s="32">
        <v>73922</v>
      </c>
      <c r="J338" s="224">
        <v>80000</v>
      </c>
      <c r="K338" s="224">
        <v>808.08</v>
      </c>
      <c r="L338" s="224"/>
      <c r="M338" s="226"/>
      <c r="N338" s="226"/>
      <c r="O338" s="226"/>
      <c r="P338" s="225">
        <f t="shared" si="150"/>
        <v>91.478475914784767</v>
      </c>
    </row>
    <row r="339" spans="1:16" x14ac:dyDescent="0.25">
      <c r="A339" s="198">
        <v>327</v>
      </c>
      <c r="B339" s="208" t="s">
        <v>55</v>
      </c>
      <c r="C339" s="195" t="s">
        <v>158</v>
      </c>
      <c r="D339" s="195" t="s">
        <v>122</v>
      </c>
      <c r="E339" s="198"/>
      <c r="F339" s="198"/>
      <c r="G339" s="32">
        <f>G340</f>
        <v>1819.7</v>
      </c>
      <c r="H339" s="32">
        <f t="shared" ref="H339:I341" si="151">H340</f>
        <v>1819.7</v>
      </c>
      <c r="I339" s="32">
        <f t="shared" si="151"/>
        <v>1741.98</v>
      </c>
      <c r="J339" s="224"/>
      <c r="K339" s="224"/>
      <c r="L339" s="224"/>
      <c r="M339" s="226"/>
      <c r="N339" s="226"/>
      <c r="O339" s="226"/>
      <c r="P339" s="225">
        <f t="shared" si="150"/>
        <v>95.728966313128538</v>
      </c>
    </row>
    <row r="340" spans="1:16" ht="30" x14ac:dyDescent="0.25">
      <c r="A340" s="198">
        <v>328</v>
      </c>
      <c r="B340" s="199" t="s">
        <v>56</v>
      </c>
      <c r="C340" s="195" t="s">
        <v>158</v>
      </c>
      <c r="D340" s="195" t="s">
        <v>122</v>
      </c>
      <c r="E340" s="195" t="s">
        <v>189</v>
      </c>
      <c r="F340" s="198"/>
      <c r="G340" s="32">
        <f>G341</f>
        <v>1819.7</v>
      </c>
      <c r="H340" s="32">
        <f t="shared" si="151"/>
        <v>1819.7</v>
      </c>
      <c r="I340" s="32">
        <f t="shared" si="151"/>
        <v>1741.98</v>
      </c>
      <c r="J340" s="224"/>
      <c r="K340" s="224"/>
      <c r="L340" s="224"/>
      <c r="M340" s="226"/>
      <c r="N340" s="226"/>
      <c r="O340" s="226"/>
      <c r="P340" s="225">
        <f t="shared" si="150"/>
        <v>95.728966313128538</v>
      </c>
    </row>
    <row r="341" spans="1:16" x14ac:dyDescent="0.25">
      <c r="A341" s="198">
        <v>329</v>
      </c>
      <c r="B341" s="199" t="s">
        <v>57</v>
      </c>
      <c r="C341" s="195" t="s">
        <v>158</v>
      </c>
      <c r="D341" s="195" t="s">
        <v>122</v>
      </c>
      <c r="E341" s="195" t="s">
        <v>190</v>
      </c>
      <c r="F341" s="198"/>
      <c r="G341" s="32">
        <f>G342</f>
        <v>1819.7</v>
      </c>
      <c r="H341" s="32">
        <f t="shared" si="151"/>
        <v>1819.7</v>
      </c>
      <c r="I341" s="32">
        <f t="shared" si="151"/>
        <v>1741.98</v>
      </c>
      <c r="J341" s="224"/>
      <c r="K341" s="224"/>
      <c r="L341" s="224"/>
      <c r="M341" s="226"/>
      <c r="N341" s="226"/>
      <c r="O341" s="226"/>
      <c r="P341" s="225">
        <f t="shared" si="150"/>
        <v>95.728966313128538</v>
      </c>
    </row>
    <row r="342" spans="1:16" ht="45" x14ac:dyDescent="0.25">
      <c r="A342" s="198">
        <v>330</v>
      </c>
      <c r="B342" s="201" t="s">
        <v>152</v>
      </c>
      <c r="C342" s="195" t="s">
        <v>158</v>
      </c>
      <c r="D342" s="195" t="s">
        <v>122</v>
      </c>
      <c r="E342" s="195" t="s">
        <v>191</v>
      </c>
      <c r="F342" s="198"/>
      <c r="G342" s="32">
        <f>G343+G345</f>
        <v>1819.7</v>
      </c>
      <c r="H342" s="32">
        <f>H343+H345</f>
        <v>1819.7</v>
      </c>
      <c r="I342" s="32">
        <f>I343+I345</f>
        <v>1741.98</v>
      </c>
      <c r="J342" s="224"/>
      <c r="K342" s="224"/>
      <c r="L342" s="224"/>
      <c r="M342" s="226"/>
      <c r="N342" s="226"/>
      <c r="O342" s="226"/>
      <c r="P342" s="225">
        <f t="shared" si="150"/>
        <v>95.728966313128538</v>
      </c>
    </row>
    <row r="343" spans="1:16" ht="45" x14ac:dyDescent="0.25">
      <c r="A343" s="198">
        <v>331</v>
      </c>
      <c r="B343" s="208" t="s">
        <v>16</v>
      </c>
      <c r="C343" s="195" t="s">
        <v>158</v>
      </c>
      <c r="D343" s="195" t="s">
        <v>122</v>
      </c>
      <c r="E343" s="195" t="s">
        <v>191</v>
      </c>
      <c r="F343" s="198">
        <v>100</v>
      </c>
      <c r="G343" s="32">
        <f>G344</f>
        <v>1424.74</v>
      </c>
      <c r="H343" s="32">
        <f t="shared" ref="H343:I343" si="152">H344</f>
        <v>1424.74</v>
      </c>
      <c r="I343" s="32">
        <f t="shared" si="152"/>
        <v>1347.02</v>
      </c>
      <c r="J343" s="224"/>
      <c r="K343" s="224"/>
      <c r="L343" s="224"/>
      <c r="M343" s="226"/>
      <c r="N343" s="226"/>
      <c r="O343" s="226"/>
      <c r="P343" s="225">
        <f t="shared" si="150"/>
        <v>94.544969608489964</v>
      </c>
    </row>
    <row r="344" spans="1:16" x14ac:dyDescent="0.25">
      <c r="A344" s="198">
        <v>332</v>
      </c>
      <c r="B344" s="208" t="s">
        <v>17</v>
      </c>
      <c r="C344" s="195" t="s">
        <v>158</v>
      </c>
      <c r="D344" s="195" t="s">
        <v>122</v>
      </c>
      <c r="E344" s="195" t="s">
        <v>191</v>
      </c>
      <c r="F344" s="198">
        <v>120</v>
      </c>
      <c r="G344" s="32">
        <f>1221.24+50+142.5+11</f>
        <v>1424.74</v>
      </c>
      <c r="H344" s="32">
        <v>1424.74</v>
      </c>
      <c r="I344" s="32">
        <v>1347.02</v>
      </c>
      <c r="J344" s="224">
        <v>142.5</v>
      </c>
      <c r="K344" s="224">
        <v>244.2</v>
      </c>
      <c r="L344" s="224">
        <v>244.2</v>
      </c>
      <c r="M344" s="226"/>
      <c r="N344" s="226"/>
      <c r="O344" s="226"/>
      <c r="P344" s="225">
        <f t="shared" si="150"/>
        <v>94.544969608489964</v>
      </c>
    </row>
    <row r="345" spans="1:16" x14ac:dyDescent="0.25">
      <c r="A345" s="198">
        <v>333</v>
      </c>
      <c r="B345" s="208" t="s">
        <v>21</v>
      </c>
      <c r="C345" s="195" t="s">
        <v>158</v>
      </c>
      <c r="D345" s="195" t="s">
        <v>122</v>
      </c>
      <c r="E345" s="195" t="s">
        <v>191</v>
      </c>
      <c r="F345" s="198">
        <v>200</v>
      </c>
      <c r="G345" s="32">
        <f>G346</f>
        <v>394.96</v>
      </c>
      <c r="H345" s="32">
        <f t="shared" ref="H345:I345" si="153">H346</f>
        <v>394.96</v>
      </c>
      <c r="I345" s="32">
        <f t="shared" si="153"/>
        <v>394.96</v>
      </c>
      <c r="J345" s="224"/>
      <c r="K345" s="224"/>
      <c r="L345" s="224"/>
      <c r="M345" s="226"/>
      <c r="N345" s="226"/>
      <c r="O345" s="226"/>
      <c r="P345" s="225">
        <f t="shared" si="150"/>
        <v>100</v>
      </c>
    </row>
    <row r="346" spans="1:16" x14ac:dyDescent="0.25">
      <c r="A346" s="198">
        <v>334</v>
      </c>
      <c r="B346" s="208" t="s">
        <v>22</v>
      </c>
      <c r="C346" s="195" t="s">
        <v>158</v>
      </c>
      <c r="D346" s="195" t="s">
        <v>122</v>
      </c>
      <c r="E346" s="195" t="s">
        <v>191</v>
      </c>
      <c r="F346" s="198">
        <v>240</v>
      </c>
      <c r="G346" s="32">
        <f>444.96-50</f>
        <v>394.96</v>
      </c>
      <c r="H346" s="32">
        <f>444.96-50</f>
        <v>394.96</v>
      </c>
      <c r="I346" s="32">
        <f>444.96-50</f>
        <v>394.96</v>
      </c>
      <c r="J346" s="224"/>
      <c r="K346" s="224"/>
      <c r="L346" s="224"/>
      <c r="M346" s="226"/>
      <c r="N346" s="226"/>
      <c r="O346" s="226"/>
      <c r="P346" s="225">
        <f t="shared" si="150"/>
        <v>100</v>
      </c>
    </row>
    <row r="347" spans="1:16" x14ac:dyDescent="0.25">
      <c r="A347" s="198">
        <v>335</v>
      </c>
      <c r="B347" s="62" t="s">
        <v>127</v>
      </c>
      <c r="C347" s="195" t="s">
        <v>158</v>
      </c>
      <c r="D347" s="195" t="s">
        <v>128</v>
      </c>
      <c r="E347" s="198"/>
      <c r="F347" s="198"/>
      <c r="G347" s="32">
        <f>G354+G360+G366+G348</f>
        <v>7581.3200000000006</v>
      </c>
      <c r="H347" s="32">
        <f>H354+H360+H366+H348</f>
        <v>7581.3200000000006</v>
      </c>
      <c r="I347" s="32">
        <f>I354+I360+I366+I348</f>
        <v>3872.0040000000004</v>
      </c>
      <c r="J347" s="224"/>
      <c r="K347" s="224"/>
      <c r="L347" s="224"/>
      <c r="M347" s="226"/>
      <c r="N347" s="226"/>
      <c r="O347" s="226"/>
      <c r="P347" s="225">
        <f t="shared" si="150"/>
        <v>51.07295299499296</v>
      </c>
    </row>
    <row r="348" spans="1:16" x14ac:dyDescent="0.25">
      <c r="A348" s="198">
        <v>336</v>
      </c>
      <c r="B348" s="62" t="s">
        <v>78</v>
      </c>
      <c r="C348" s="195" t="s">
        <v>158</v>
      </c>
      <c r="D348" s="195" t="s">
        <v>129</v>
      </c>
      <c r="E348" s="198"/>
      <c r="F348" s="198"/>
      <c r="G348" s="32">
        <f>G349</f>
        <v>933.47</v>
      </c>
      <c r="H348" s="32">
        <f t="shared" ref="H348:I348" si="154">H349</f>
        <v>933.47</v>
      </c>
      <c r="I348" s="32">
        <f t="shared" si="154"/>
        <v>925.07</v>
      </c>
      <c r="J348" s="224"/>
      <c r="K348" s="224"/>
      <c r="L348" s="224"/>
      <c r="M348" s="226"/>
      <c r="N348" s="226"/>
      <c r="O348" s="226"/>
      <c r="P348" s="225">
        <f t="shared" si="150"/>
        <v>99.100131766419921</v>
      </c>
    </row>
    <row r="349" spans="1:16" x14ac:dyDescent="0.25">
      <c r="A349" s="198">
        <v>337</v>
      </c>
      <c r="B349" s="62" t="s">
        <v>327</v>
      </c>
      <c r="C349" s="195" t="s">
        <v>158</v>
      </c>
      <c r="D349" s="195" t="s">
        <v>129</v>
      </c>
      <c r="E349" s="195" t="s">
        <v>183</v>
      </c>
      <c r="F349" s="198"/>
      <c r="G349" s="32">
        <f>G350</f>
        <v>933.47</v>
      </c>
      <c r="H349" s="32">
        <f t="shared" ref="H349:I351" si="155">H350</f>
        <v>933.47</v>
      </c>
      <c r="I349" s="32">
        <f t="shared" si="155"/>
        <v>925.07</v>
      </c>
      <c r="J349" s="224"/>
      <c r="K349" s="224"/>
      <c r="L349" s="224"/>
      <c r="M349" s="226"/>
      <c r="N349" s="226"/>
      <c r="O349" s="226"/>
      <c r="P349" s="225">
        <f t="shared" si="150"/>
        <v>99.100131766419921</v>
      </c>
    </row>
    <row r="350" spans="1:16" x14ac:dyDescent="0.25">
      <c r="A350" s="198">
        <v>338</v>
      </c>
      <c r="B350" s="62" t="s">
        <v>442</v>
      </c>
      <c r="C350" s="195" t="s">
        <v>158</v>
      </c>
      <c r="D350" s="195" t="s">
        <v>129</v>
      </c>
      <c r="E350" s="195" t="s">
        <v>432</v>
      </c>
      <c r="F350" s="198"/>
      <c r="G350" s="32">
        <f>G351</f>
        <v>933.47</v>
      </c>
      <c r="H350" s="32">
        <f t="shared" si="155"/>
        <v>933.47</v>
      </c>
      <c r="I350" s="32">
        <f t="shared" si="155"/>
        <v>925.07</v>
      </c>
      <c r="J350" s="224"/>
      <c r="K350" s="224"/>
      <c r="L350" s="224"/>
      <c r="M350" s="226"/>
      <c r="N350" s="226"/>
      <c r="O350" s="226"/>
      <c r="P350" s="225">
        <f t="shared" si="150"/>
        <v>99.100131766419921</v>
      </c>
    </row>
    <row r="351" spans="1:16" ht="60" x14ac:dyDescent="0.25">
      <c r="A351" s="198">
        <v>339</v>
      </c>
      <c r="B351" s="65" t="s">
        <v>443</v>
      </c>
      <c r="C351" s="195" t="s">
        <v>158</v>
      </c>
      <c r="D351" s="195" t="s">
        <v>129</v>
      </c>
      <c r="E351" s="195" t="s">
        <v>444</v>
      </c>
      <c r="F351" s="198"/>
      <c r="G351" s="32">
        <f>G352</f>
        <v>933.47</v>
      </c>
      <c r="H351" s="32">
        <f t="shared" si="155"/>
        <v>933.47</v>
      </c>
      <c r="I351" s="32">
        <f t="shared" si="155"/>
        <v>925.07</v>
      </c>
      <c r="J351" s="224"/>
      <c r="K351" s="224"/>
      <c r="L351" s="224"/>
      <c r="M351" s="226"/>
      <c r="N351" s="226"/>
      <c r="O351" s="226"/>
      <c r="P351" s="225">
        <f t="shared" si="150"/>
        <v>99.100131766419921</v>
      </c>
    </row>
    <row r="352" spans="1:16" x14ac:dyDescent="0.25">
      <c r="A352" s="198">
        <v>340</v>
      </c>
      <c r="B352" s="208" t="s">
        <v>79</v>
      </c>
      <c r="C352" s="195" t="s">
        <v>158</v>
      </c>
      <c r="D352" s="195" t="s">
        <v>129</v>
      </c>
      <c r="E352" s="195" t="s">
        <v>444</v>
      </c>
      <c r="F352" s="198">
        <v>300</v>
      </c>
      <c r="G352" s="32">
        <f>G353</f>
        <v>933.47</v>
      </c>
      <c r="H352" s="32">
        <f t="shared" ref="H352:I352" si="156">H353</f>
        <v>933.47</v>
      </c>
      <c r="I352" s="32">
        <f t="shared" si="156"/>
        <v>925.07</v>
      </c>
      <c r="J352" s="224"/>
      <c r="K352" s="224"/>
      <c r="L352" s="224"/>
      <c r="M352" s="226"/>
      <c r="N352" s="226"/>
      <c r="O352" s="226"/>
      <c r="P352" s="225">
        <f t="shared" si="150"/>
        <v>99.100131766419921</v>
      </c>
    </row>
    <row r="353" spans="1:16" x14ac:dyDescent="0.25">
      <c r="A353" s="198">
        <v>341</v>
      </c>
      <c r="B353" s="62" t="s">
        <v>445</v>
      </c>
      <c r="C353" s="195" t="s">
        <v>158</v>
      </c>
      <c r="D353" s="195" t="s">
        <v>129</v>
      </c>
      <c r="E353" s="195" t="s">
        <v>444</v>
      </c>
      <c r="F353" s="198">
        <v>310</v>
      </c>
      <c r="G353" s="32">
        <f>582+478.47-127</f>
        <v>933.47</v>
      </c>
      <c r="H353" s="32">
        <v>933.47</v>
      </c>
      <c r="I353" s="32">
        <v>925.07</v>
      </c>
      <c r="J353" s="224">
        <v>478.47</v>
      </c>
      <c r="K353" s="224"/>
      <c r="L353" s="224"/>
      <c r="M353" s="226"/>
      <c r="N353" s="226"/>
      <c r="O353" s="226"/>
      <c r="P353" s="225">
        <f t="shared" si="150"/>
        <v>99.100131766419921</v>
      </c>
    </row>
    <row r="354" spans="1:16" x14ac:dyDescent="0.25">
      <c r="A354" s="198">
        <v>342</v>
      </c>
      <c r="B354" s="208" t="s">
        <v>80</v>
      </c>
      <c r="C354" s="195" t="s">
        <v>158</v>
      </c>
      <c r="D354" s="195" t="s">
        <v>130</v>
      </c>
      <c r="E354" s="195"/>
      <c r="F354" s="198"/>
      <c r="G354" s="32">
        <f t="shared" ref="G354:G358" si="157">G355</f>
        <v>2058.92</v>
      </c>
      <c r="H354" s="32">
        <f t="shared" ref="H354:I357" si="158">H355</f>
        <v>2058.92</v>
      </c>
      <c r="I354" s="32">
        <f t="shared" si="158"/>
        <v>2058.92</v>
      </c>
      <c r="J354" s="224"/>
      <c r="K354" s="224"/>
      <c r="L354" s="224"/>
      <c r="M354" s="226"/>
      <c r="N354" s="226"/>
      <c r="O354" s="226"/>
      <c r="P354" s="225">
        <f t="shared" si="150"/>
        <v>100</v>
      </c>
    </row>
    <row r="355" spans="1:16" ht="30" x14ac:dyDescent="0.25">
      <c r="A355" s="198">
        <v>343</v>
      </c>
      <c r="B355" s="197" t="s">
        <v>59</v>
      </c>
      <c r="C355" s="195" t="s">
        <v>158</v>
      </c>
      <c r="D355" s="195" t="s">
        <v>130</v>
      </c>
      <c r="E355" s="198">
        <v>1100000000</v>
      </c>
      <c r="F355" s="198"/>
      <c r="G355" s="32">
        <f t="shared" si="157"/>
        <v>2058.92</v>
      </c>
      <c r="H355" s="32">
        <f t="shared" si="158"/>
        <v>2058.92</v>
      </c>
      <c r="I355" s="32">
        <f t="shared" si="158"/>
        <v>2058.92</v>
      </c>
      <c r="J355" s="224"/>
      <c r="K355" s="224"/>
      <c r="L355" s="224"/>
      <c r="M355" s="226"/>
      <c r="N355" s="226"/>
      <c r="O355" s="226"/>
      <c r="P355" s="225">
        <f t="shared" si="150"/>
        <v>100</v>
      </c>
    </row>
    <row r="356" spans="1:16" x14ac:dyDescent="0.25">
      <c r="A356" s="198">
        <v>344</v>
      </c>
      <c r="B356" s="197" t="s">
        <v>144</v>
      </c>
      <c r="C356" s="195" t="s">
        <v>158</v>
      </c>
      <c r="D356" s="195" t="s">
        <v>130</v>
      </c>
      <c r="E356" s="198">
        <v>1120000000</v>
      </c>
      <c r="F356" s="198"/>
      <c r="G356" s="32">
        <f t="shared" si="157"/>
        <v>2058.92</v>
      </c>
      <c r="H356" s="32">
        <f t="shared" si="158"/>
        <v>2058.92</v>
      </c>
      <c r="I356" s="32">
        <f t="shared" si="158"/>
        <v>2058.92</v>
      </c>
      <c r="J356" s="224"/>
      <c r="K356" s="224"/>
      <c r="L356" s="224"/>
      <c r="M356" s="226"/>
      <c r="N356" s="226"/>
      <c r="O356" s="226"/>
      <c r="P356" s="225">
        <f t="shared" si="150"/>
        <v>100</v>
      </c>
    </row>
    <row r="357" spans="1:16" x14ac:dyDescent="0.25">
      <c r="A357" s="198">
        <v>345</v>
      </c>
      <c r="B357" s="199" t="s">
        <v>150</v>
      </c>
      <c r="C357" s="195" t="s">
        <v>158</v>
      </c>
      <c r="D357" s="195" t="s">
        <v>130</v>
      </c>
      <c r="E357" s="198" t="s">
        <v>282</v>
      </c>
      <c r="F357" s="198"/>
      <c r="G357" s="32">
        <f t="shared" si="157"/>
        <v>2058.92</v>
      </c>
      <c r="H357" s="32">
        <f t="shared" si="158"/>
        <v>2058.92</v>
      </c>
      <c r="I357" s="32">
        <f t="shared" si="158"/>
        <v>2058.92</v>
      </c>
      <c r="J357" s="224"/>
      <c r="K357" s="224"/>
      <c r="L357" s="224"/>
      <c r="M357" s="226"/>
      <c r="N357" s="226"/>
      <c r="O357" s="226"/>
      <c r="P357" s="225">
        <f t="shared" si="150"/>
        <v>100</v>
      </c>
    </row>
    <row r="358" spans="1:16" x14ac:dyDescent="0.25">
      <c r="A358" s="198">
        <v>346</v>
      </c>
      <c r="B358" s="208" t="s">
        <v>79</v>
      </c>
      <c r="C358" s="195" t="s">
        <v>158</v>
      </c>
      <c r="D358" s="195" t="s">
        <v>130</v>
      </c>
      <c r="E358" s="198" t="s">
        <v>282</v>
      </c>
      <c r="F358" s="198">
        <v>300</v>
      </c>
      <c r="G358" s="32">
        <f t="shared" si="157"/>
        <v>2058.92</v>
      </c>
      <c r="H358" s="32">
        <f t="shared" ref="H358:I358" si="159">H359</f>
        <v>2058.92</v>
      </c>
      <c r="I358" s="32">
        <f t="shared" si="159"/>
        <v>2058.92</v>
      </c>
      <c r="J358" s="224"/>
      <c r="K358" s="224"/>
      <c r="L358" s="224"/>
      <c r="M358" s="226"/>
      <c r="N358" s="226"/>
      <c r="O358" s="226"/>
      <c r="P358" s="225">
        <f t="shared" si="150"/>
        <v>100</v>
      </c>
    </row>
    <row r="359" spans="1:16" x14ac:dyDescent="0.25">
      <c r="A359" s="198">
        <v>347</v>
      </c>
      <c r="B359" s="208" t="s">
        <v>83</v>
      </c>
      <c r="C359" s="195" t="s">
        <v>158</v>
      </c>
      <c r="D359" s="195" t="s">
        <v>130</v>
      </c>
      <c r="E359" s="198" t="s">
        <v>282</v>
      </c>
      <c r="F359" s="198">
        <v>320</v>
      </c>
      <c r="G359" s="32">
        <f>730+35+1298.92-5</f>
        <v>2058.92</v>
      </c>
      <c r="H359" s="32">
        <v>2058.92</v>
      </c>
      <c r="I359" s="32">
        <v>2058.92</v>
      </c>
      <c r="J359" s="224">
        <v>1298.92</v>
      </c>
      <c r="K359" s="224">
        <v>1365.64</v>
      </c>
      <c r="L359" s="224">
        <v>1353.04</v>
      </c>
      <c r="M359" s="226">
        <v>-5</v>
      </c>
      <c r="N359" s="226"/>
      <c r="O359" s="226"/>
      <c r="P359" s="225">
        <f t="shared" si="150"/>
        <v>100</v>
      </c>
    </row>
    <row r="360" spans="1:16" x14ac:dyDescent="0.25">
      <c r="A360" s="198">
        <v>348</v>
      </c>
      <c r="B360" s="37" t="s">
        <v>60</v>
      </c>
      <c r="C360" s="195" t="s">
        <v>158</v>
      </c>
      <c r="D360" s="195" t="s">
        <v>171</v>
      </c>
      <c r="E360" s="198"/>
      <c r="F360" s="198"/>
      <c r="G360" s="32">
        <f>G361</f>
        <v>3600</v>
      </c>
      <c r="H360" s="32">
        <f t="shared" ref="H360:I363" si="160">H361</f>
        <v>3600</v>
      </c>
      <c r="I360" s="32">
        <f t="shared" si="160"/>
        <v>0</v>
      </c>
      <c r="J360" s="224"/>
      <c r="K360" s="224"/>
      <c r="L360" s="224"/>
      <c r="M360" s="226"/>
      <c r="N360" s="226"/>
      <c r="O360" s="226"/>
      <c r="P360" s="225">
        <f t="shared" si="150"/>
        <v>0</v>
      </c>
    </row>
    <row r="361" spans="1:16" ht="30" x14ac:dyDescent="0.25">
      <c r="A361" s="198">
        <v>349</v>
      </c>
      <c r="B361" s="197" t="s">
        <v>59</v>
      </c>
      <c r="C361" s="195" t="s">
        <v>158</v>
      </c>
      <c r="D361" s="195" t="s">
        <v>171</v>
      </c>
      <c r="E361" s="198">
        <v>1100000000</v>
      </c>
      <c r="F361" s="198"/>
      <c r="G361" s="32">
        <f>G362</f>
        <v>3600</v>
      </c>
      <c r="H361" s="32">
        <f t="shared" si="160"/>
        <v>3600</v>
      </c>
      <c r="I361" s="32">
        <f t="shared" si="160"/>
        <v>0</v>
      </c>
      <c r="J361" s="224"/>
      <c r="K361" s="224"/>
      <c r="L361" s="224"/>
      <c r="M361" s="226"/>
      <c r="N361" s="226"/>
      <c r="O361" s="226"/>
      <c r="P361" s="225">
        <f t="shared" si="150"/>
        <v>0</v>
      </c>
    </row>
    <row r="362" spans="1:16" ht="30" x14ac:dyDescent="0.25">
      <c r="A362" s="198">
        <v>350</v>
      </c>
      <c r="B362" s="199" t="s">
        <v>159</v>
      </c>
      <c r="C362" s="195" t="s">
        <v>158</v>
      </c>
      <c r="D362" s="195" t="s">
        <v>171</v>
      </c>
      <c r="E362" s="198">
        <v>1150000000</v>
      </c>
      <c r="F362" s="198"/>
      <c r="G362" s="32">
        <f>G363</f>
        <v>3600</v>
      </c>
      <c r="H362" s="32">
        <f t="shared" si="160"/>
        <v>3600</v>
      </c>
      <c r="I362" s="32">
        <f t="shared" si="160"/>
        <v>0</v>
      </c>
      <c r="J362" s="224"/>
      <c r="K362" s="224"/>
      <c r="L362" s="224"/>
      <c r="M362" s="226"/>
      <c r="N362" s="226"/>
      <c r="O362" s="226"/>
      <c r="P362" s="225">
        <f t="shared" si="150"/>
        <v>0</v>
      </c>
    </row>
    <row r="363" spans="1:16" ht="45" x14ac:dyDescent="0.25">
      <c r="A363" s="198">
        <v>351</v>
      </c>
      <c r="B363" s="199" t="s">
        <v>422</v>
      </c>
      <c r="C363" s="195" t="s">
        <v>158</v>
      </c>
      <c r="D363" s="195" t="s">
        <v>171</v>
      </c>
      <c r="E363" s="198">
        <v>1150075870</v>
      </c>
      <c r="F363" s="198"/>
      <c r="G363" s="32">
        <f>G364</f>
        <v>3600</v>
      </c>
      <c r="H363" s="32">
        <f t="shared" si="160"/>
        <v>3600</v>
      </c>
      <c r="I363" s="32">
        <f t="shared" si="160"/>
        <v>0</v>
      </c>
      <c r="J363" s="224"/>
      <c r="K363" s="224"/>
      <c r="L363" s="224"/>
      <c r="M363" s="226"/>
      <c r="N363" s="226"/>
      <c r="O363" s="226"/>
      <c r="P363" s="225">
        <f t="shared" si="150"/>
        <v>0</v>
      </c>
    </row>
    <row r="364" spans="1:16" ht="30" x14ac:dyDescent="0.25">
      <c r="A364" s="198">
        <v>352</v>
      </c>
      <c r="B364" s="203" t="s">
        <v>160</v>
      </c>
      <c r="C364" s="195" t="s">
        <v>158</v>
      </c>
      <c r="D364" s="195" t="s">
        <v>171</v>
      </c>
      <c r="E364" s="198">
        <v>1150075870</v>
      </c>
      <c r="F364" s="198">
        <v>400</v>
      </c>
      <c r="G364" s="32">
        <f>G365</f>
        <v>3600</v>
      </c>
      <c r="H364" s="32">
        <f t="shared" ref="H364:I364" si="161">H365</f>
        <v>3600</v>
      </c>
      <c r="I364" s="32">
        <f t="shared" si="161"/>
        <v>0</v>
      </c>
      <c r="J364" s="224"/>
      <c r="K364" s="224"/>
      <c r="L364" s="224"/>
      <c r="M364" s="226"/>
      <c r="N364" s="226"/>
      <c r="O364" s="226"/>
      <c r="P364" s="225">
        <f t="shared" si="150"/>
        <v>0</v>
      </c>
    </row>
    <row r="365" spans="1:16" x14ac:dyDescent="0.25">
      <c r="A365" s="198">
        <v>353</v>
      </c>
      <c r="B365" s="203" t="s">
        <v>161</v>
      </c>
      <c r="C365" s="195" t="s">
        <v>158</v>
      </c>
      <c r="D365" s="195" t="s">
        <v>171</v>
      </c>
      <c r="E365" s="198">
        <v>1150075870</v>
      </c>
      <c r="F365" s="198">
        <v>410</v>
      </c>
      <c r="G365" s="32">
        <v>3600</v>
      </c>
      <c r="H365" s="32">
        <v>3600</v>
      </c>
      <c r="I365" s="32">
        <v>0</v>
      </c>
      <c r="J365" s="224"/>
      <c r="K365" s="224"/>
      <c r="L365" s="224"/>
      <c r="M365" s="226"/>
      <c r="N365" s="226"/>
      <c r="O365" s="226"/>
      <c r="P365" s="225">
        <f t="shared" si="150"/>
        <v>0</v>
      </c>
    </row>
    <row r="366" spans="1:16" ht="15.75" x14ac:dyDescent="0.25">
      <c r="A366" s="198">
        <v>354</v>
      </c>
      <c r="B366" s="238" t="s">
        <v>81</v>
      </c>
      <c r="C366" s="195" t="s">
        <v>158</v>
      </c>
      <c r="D366" s="195" t="s">
        <v>131</v>
      </c>
      <c r="E366" s="198"/>
      <c r="F366" s="198"/>
      <c r="G366" s="32">
        <f>G367+G374</f>
        <v>988.93000000000006</v>
      </c>
      <c r="H366" s="32">
        <f>H367+H374</f>
        <v>988.93000000000006</v>
      </c>
      <c r="I366" s="32">
        <f>I367+I374</f>
        <v>888.0139999999999</v>
      </c>
      <c r="J366" s="224"/>
      <c r="K366" s="224"/>
      <c r="L366" s="224"/>
      <c r="M366" s="226"/>
      <c r="N366" s="226"/>
      <c r="O366" s="226"/>
      <c r="P366" s="225">
        <f t="shared" si="150"/>
        <v>89.795435470660195</v>
      </c>
    </row>
    <row r="367" spans="1:16" x14ac:dyDescent="0.25">
      <c r="A367" s="198">
        <v>355</v>
      </c>
      <c r="B367" s="203" t="s">
        <v>264</v>
      </c>
      <c r="C367" s="195" t="s">
        <v>158</v>
      </c>
      <c r="D367" s="195" t="s">
        <v>131</v>
      </c>
      <c r="E367" s="198">
        <v>8500000000</v>
      </c>
      <c r="F367" s="198"/>
      <c r="G367" s="32">
        <f>G368</f>
        <v>812</v>
      </c>
      <c r="H367" s="32">
        <f t="shared" ref="H367:I368" si="162">H368</f>
        <v>812</v>
      </c>
      <c r="I367" s="32">
        <f t="shared" si="162"/>
        <v>761.0809999999999</v>
      </c>
      <c r="J367" s="224"/>
      <c r="K367" s="224"/>
      <c r="L367" s="224"/>
      <c r="M367" s="226"/>
      <c r="N367" s="226"/>
      <c r="O367" s="226"/>
      <c r="P367" s="225">
        <f t="shared" si="150"/>
        <v>93.729187192118218</v>
      </c>
    </row>
    <row r="368" spans="1:16" x14ac:dyDescent="0.25">
      <c r="A368" s="198">
        <v>356</v>
      </c>
      <c r="B368" s="203" t="s">
        <v>265</v>
      </c>
      <c r="C368" s="195" t="s">
        <v>158</v>
      </c>
      <c r="D368" s="195" t="s">
        <v>131</v>
      </c>
      <c r="E368" s="198">
        <v>8510000000</v>
      </c>
      <c r="F368" s="198"/>
      <c r="G368" s="32">
        <f>G369</f>
        <v>812</v>
      </c>
      <c r="H368" s="32">
        <f t="shared" si="162"/>
        <v>812</v>
      </c>
      <c r="I368" s="32">
        <f t="shared" si="162"/>
        <v>761.0809999999999</v>
      </c>
      <c r="J368" s="224"/>
      <c r="K368" s="224"/>
      <c r="L368" s="224"/>
      <c r="M368" s="226"/>
      <c r="N368" s="226"/>
      <c r="O368" s="226"/>
      <c r="P368" s="225">
        <f t="shared" si="150"/>
        <v>93.729187192118218</v>
      </c>
    </row>
    <row r="369" spans="1:16" ht="30" x14ac:dyDescent="0.25">
      <c r="A369" s="198">
        <v>357</v>
      </c>
      <c r="B369" s="199" t="s">
        <v>439</v>
      </c>
      <c r="C369" s="195" t="s">
        <v>158</v>
      </c>
      <c r="D369" s="195" t="s">
        <v>131</v>
      </c>
      <c r="E369" s="198">
        <v>8510002890</v>
      </c>
      <c r="F369" s="198"/>
      <c r="G369" s="32">
        <f>G370+G372</f>
        <v>812</v>
      </c>
      <c r="H369" s="32">
        <f t="shared" ref="H369:I369" si="163">H370+H372</f>
        <v>812</v>
      </c>
      <c r="I369" s="32">
        <f t="shared" si="163"/>
        <v>761.0809999999999</v>
      </c>
      <c r="J369" s="224"/>
      <c r="K369" s="224"/>
      <c r="L369" s="224"/>
      <c r="M369" s="226"/>
      <c r="N369" s="226"/>
      <c r="O369" s="226"/>
      <c r="P369" s="225">
        <f t="shared" si="150"/>
        <v>93.729187192118218</v>
      </c>
    </row>
    <row r="370" spans="1:16" ht="45" x14ac:dyDescent="0.25">
      <c r="A370" s="198">
        <v>358</v>
      </c>
      <c r="B370" s="208" t="s">
        <v>16</v>
      </c>
      <c r="C370" s="195" t="s">
        <v>158</v>
      </c>
      <c r="D370" s="195" t="s">
        <v>131</v>
      </c>
      <c r="E370" s="198">
        <v>8510002890</v>
      </c>
      <c r="F370" s="198">
        <v>100</v>
      </c>
      <c r="G370" s="32">
        <f>G371</f>
        <v>687.32</v>
      </c>
      <c r="H370" s="32">
        <f t="shared" ref="H370:I370" si="164">H371</f>
        <v>687.32</v>
      </c>
      <c r="I370" s="32">
        <f t="shared" si="164"/>
        <v>636.40099999999995</v>
      </c>
      <c r="J370" s="224"/>
      <c r="K370" s="224"/>
      <c r="L370" s="224"/>
      <c r="M370" s="226"/>
      <c r="N370" s="226"/>
      <c r="O370" s="226"/>
      <c r="P370" s="225">
        <f t="shared" si="150"/>
        <v>92.591660361985674</v>
      </c>
    </row>
    <row r="371" spans="1:16" x14ac:dyDescent="0.25">
      <c r="A371" s="198">
        <v>359</v>
      </c>
      <c r="B371" s="208" t="s">
        <v>17</v>
      </c>
      <c r="C371" s="195" t="s">
        <v>158</v>
      </c>
      <c r="D371" s="195" t="s">
        <v>131</v>
      </c>
      <c r="E371" s="198">
        <v>8510002890</v>
      </c>
      <c r="F371" s="198">
        <v>120</v>
      </c>
      <c r="G371" s="32">
        <f>610.62+71.2+5.5</f>
        <v>687.32</v>
      </c>
      <c r="H371" s="32">
        <v>687.32</v>
      </c>
      <c r="I371" s="32">
        <v>636.40099999999995</v>
      </c>
      <c r="J371" s="224">
        <v>71.2</v>
      </c>
      <c r="K371" s="224">
        <v>122.1</v>
      </c>
      <c r="L371" s="224">
        <v>122.1</v>
      </c>
      <c r="M371" s="226"/>
      <c r="N371" s="226"/>
      <c r="O371" s="226"/>
      <c r="P371" s="225">
        <f t="shared" si="150"/>
        <v>92.591660361985674</v>
      </c>
    </row>
    <row r="372" spans="1:16" x14ac:dyDescent="0.25">
      <c r="A372" s="198">
        <v>360</v>
      </c>
      <c r="B372" s="208" t="s">
        <v>21</v>
      </c>
      <c r="C372" s="195" t="s">
        <v>158</v>
      </c>
      <c r="D372" s="195" t="s">
        <v>131</v>
      </c>
      <c r="E372" s="198">
        <v>8510002890</v>
      </c>
      <c r="F372" s="198">
        <v>200</v>
      </c>
      <c r="G372" s="32">
        <f>G373</f>
        <v>124.68</v>
      </c>
      <c r="H372" s="32">
        <f t="shared" ref="H372:I372" si="165">H373</f>
        <v>124.68</v>
      </c>
      <c r="I372" s="32">
        <f t="shared" si="165"/>
        <v>124.68</v>
      </c>
      <c r="J372" s="224"/>
      <c r="K372" s="224"/>
      <c r="L372" s="224"/>
      <c r="M372" s="226"/>
      <c r="N372" s="226"/>
      <c r="O372" s="226"/>
      <c r="P372" s="225">
        <f t="shared" si="150"/>
        <v>100</v>
      </c>
    </row>
    <row r="373" spans="1:16" x14ac:dyDescent="0.25">
      <c r="A373" s="198">
        <v>361</v>
      </c>
      <c r="B373" s="208" t="s">
        <v>22</v>
      </c>
      <c r="C373" s="195" t="s">
        <v>158</v>
      </c>
      <c r="D373" s="195" t="s">
        <v>131</v>
      </c>
      <c r="E373" s="198">
        <v>8510002890</v>
      </c>
      <c r="F373" s="198">
        <v>240</v>
      </c>
      <c r="G373" s="32">
        <v>124.68</v>
      </c>
      <c r="H373" s="32">
        <v>124.68</v>
      </c>
      <c r="I373" s="32">
        <v>124.68</v>
      </c>
      <c r="J373" s="224"/>
      <c r="K373" s="224"/>
      <c r="L373" s="224"/>
      <c r="M373" s="226"/>
      <c r="N373" s="226"/>
      <c r="O373" s="226"/>
      <c r="P373" s="225">
        <f t="shared" si="150"/>
        <v>100</v>
      </c>
    </row>
    <row r="374" spans="1:16" x14ac:dyDescent="0.25">
      <c r="A374" s="198">
        <v>362</v>
      </c>
      <c r="B374" s="62" t="s">
        <v>327</v>
      </c>
      <c r="C374" s="195" t="s">
        <v>158</v>
      </c>
      <c r="D374" s="195" t="s">
        <v>131</v>
      </c>
      <c r="E374" s="195" t="s">
        <v>183</v>
      </c>
      <c r="F374" s="198"/>
      <c r="G374" s="32">
        <f>G375</f>
        <v>176.93</v>
      </c>
      <c r="H374" s="32">
        <f t="shared" ref="H374:I374" si="166">H375</f>
        <v>176.93</v>
      </c>
      <c r="I374" s="32">
        <f t="shared" si="166"/>
        <v>126.93299999999999</v>
      </c>
      <c r="J374" s="224"/>
      <c r="K374" s="224"/>
      <c r="L374" s="224"/>
      <c r="M374" s="226"/>
      <c r="N374" s="226"/>
      <c r="O374" s="226"/>
      <c r="P374" s="225">
        <f t="shared" si="150"/>
        <v>71.74193183744984</v>
      </c>
    </row>
    <row r="375" spans="1:16" x14ac:dyDescent="0.25">
      <c r="A375" s="198">
        <v>363</v>
      </c>
      <c r="B375" s="62" t="s">
        <v>442</v>
      </c>
      <c r="C375" s="195" t="s">
        <v>158</v>
      </c>
      <c r="D375" s="195" t="s">
        <v>131</v>
      </c>
      <c r="E375" s="195" t="s">
        <v>432</v>
      </c>
      <c r="F375" s="198"/>
      <c r="G375" s="32">
        <f>G376+G379</f>
        <v>176.93</v>
      </c>
      <c r="H375" s="32">
        <f>H376+H379</f>
        <v>176.93</v>
      </c>
      <c r="I375" s="32">
        <f>I376+I379</f>
        <v>126.93299999999999</v>
      </c>
      <c r="J375" s="224"/>
      <c r="K375" s="224"/>
      <c r="L375" s="224"/>
      <c r="M375" s="226"/>
      <c r="N375" s="226"/>
      <c r="O375" s="226"/>
      <c r="P375" s="225">
        <f t="shared" si="150"/>
        <v>71.74193183744984</v>
      </c>
    </row>
    <row r="376" spans="1:16" ht="45" x14ac:dyDescent="0.25">
      <c r="A376" s="198">
        <v>364</v>
      </c>
      <c r="B376" s="203" t="s">
        <v>454</v>
      </c>
      <c r="C376" s="195" t="s">
        <v>158</v>
      </c>
      <c r="D376" s="195" t="s">
        <v>131</v>
      </c>
      <c r="E376" s="195" t="s">
        <v>446</v>
      </c>
      <c r="F376" s="198"/>
      <c r="G376" s="32">
        <f>G377</f>
        <v>50</v>
      </c>
      <c r="H376" s="32">
        <f t="shared" ref="H376:I376" si="167">H377</f>
        <v>50</v>
      </c>
      <c r="I376" s="32">
        <f t="shared" si="167"/>
        <v>0</v>
      </c>
      <c r="J376" s="224"/>
      <c r="K376" s="224"/>
      <c r="L376" s="224"/>
      <c r="M376" s="226"/>
      <c r="N376" s="226"/>
      <c r="O376" s="226"/>
      <c r="P376" s="225">
        <f t="shared" si="150"/>
        <v>0</v>
      </c>
    </row>
    <row r="377" spans="1:16" x14ac:dyDescent="0.25">
      <c r="A377" s="198">
        <v>365</v>
      </c>
      <c r="B377" s="208" t="s">
        <v>21</v>
      </c>
      <c r="C377" s="195" t="s">
        <v>158</v>
      </c>
      <c r="D377" s="195" t="s">
        <v>131</v>
      </c>
      <c r="E377" s="195" t="s">
        <v>446</v>
      </c>
      <c r="F377" s="198">
        <v>200</v>
      </c>
      <c r="G377" s="32">
        <f>G378</f>
        <v>50</v>
      </c>
      <c r="H377" s="32">
        <f t="shared" ref="H377:I377" si="168">H378</f>
        <v>50</v>
      </c>
      <c r="I377" s="32">
        <f t="shared" si="168"/>
        <v>0</v>
      </c>
      <c r="J377" s="224"/>
      <c r="K377" s="224"/>
      <c r="L377" s="224"/>
      <c r="M377" s="226"/>
      <c r="N377" s="226"/>
      <c r="O377" s="226"/>
      <c r="P377" s="225">
        <f t="shared" si="150"/>
        <v>0</v>
      </c>
    </row>
    <row r="378" spans="1:16" x14ac:dyDescent="0.25">
      <c r="A378" s="198">
        <v>366</v>
      </c>
      <c r="B378" s="208" t="s">
        <v>22</v>
      </c>
      <c r="C378" s="195" t="s">
        <v>158</v>
      </c>
      <c r="D378" s="195" t="s">
        <v>131</v>
      </c>
      <c r="E378" s="195" t="s">
        <v>446</v>
      </c>
      <c r="F378" s="198">
        <v>240</v>
      </c>
      <c r="G378" s="32">
        <v>50</v>
      </c>
      <c r="H378" s="32">
        <v>50</v>
      </c>
      <c r="I378" s="32">
        <v>0</v>
      </c>
      <c r="J378" s="224"/>
      <c r="K378" s="224"/>
      <c r="L378" s="224"/>
      <c r="M378" s="226"/>
      <c r="N378" s="226"/>
      <c r="O378" s="226"/>
      <c r="P378" s="225">
        <f t="shared" si="150"/>
        <v>0</v>
      </c>
    </row>
    <row r="379" spans="1:16" ht="35.25" customHeight="1" x14ac:dyDescent="0.25">
      <c r="A379" s="198">
        <v>367</v>
      </c>
      <c r="B379" s="203" t="s">
        <v>447</v>
      </c>
      <c r="C379" s="195" t="s">
        <v>158</v>
      </c>
      <c r="D379" s="195" t="s">
        <v>131</v>
      </c>
      <c r="E379" s="195" t="s">
        <v>448</v>
      </c>
      <c r="F379" s="198"/>
      <c r="G379" s="32">
        <f>G380+G382</f>
        <v>126.93</v>
      </c>
      <c r="H379" s="32">
        <f t="shared" ref="H379:I379" si="169">H380+H382</f>
        <v>126.93</v>
      </c>
      <c r="I379" s="32">
        <f t="shared" si="169"/>
        <v>126.93299999999999</v>
      </c>
      <c r="J379" s="224"/>
      <c r="K379" s="224"/>
      <c r="L379" s="224"/>
      <c r="M379" s="226"/>
      <c r="N379" s="226"/>
      <c r="O379" s="226"/>
      <c r="P379" s="225">
        <f t="shared" si="150"/>
        <v>100.00236350744504</v>
      </c>
    </row>
    <row r="380" spans="1:16" ht="21" customHeight="1" x14ac:dyDescent="0.25">
      <c r="A380" s="198">
        <v>368</v>
      </c>
      <c r="B380" s="199" t="s">
        <v>150</v>
      </c>
      <c r="C380" s="195" t="s">
        <v>158</v>
      </c>
      <c r="D380" s="195" t="s">
        <v>131</v>
      </c>
      <c r="E380" s="195" t="s">
        <v>448</v>
      </c>
      <c r="F380" s="198">
        <v>300</v>
      </c>
      <c r="G380" s="32">
        <f>G381</f>
        <v>116.22</v>
      </c>
      <c r="H380" s="32">
        <f t="shared" ref="H380:I380" si="170">H381</f>
        <v>116.22</v>
      </c>
      <c r="I380" s="32">
        <f t="shared" si="170"/>
        <v>116.22</v>
      </c>
      <c r="J380" s="224"/>
      <c r="K380" s="224"/>
      <c r="L380" s="224"/>
      <c r="M380" s="226"/>
      <c r="N380" s="226"/>
      <c r="O380" s="226"/>
      <c r="P380" s="225">
        <f t="shared" si="150"/>
        <v>100</v>
      </c>
    </row>
    <row r="381" spans="1:16" x14ac:dyDescent="0.25">
      <c r="A381" s="198">
        <v>369</v>
      </c>
      <c r="B381" s="62" t="s">
        <v>83</v>
      </c>
      <c r="C381" s="195" t="s">
        <v>158</v>
      </c>
      <c r="D381" s="195" t="s">
        <v>131</v>
      </c>
      <c r="E381" s="195" t="s">
        <v>448</v>
      </c>
      <c r="F381" s="198">
        <v>320</v>
      </c>
      <c r="G381" s="32">
        <f>154.4-9.71-28.47</f>
        <v>116.22</v>
      </c>
      <c r="H381" s="32">
        <v>116.22</v>
      </c>
      <c r="I381" s="32">
        <v>116.22</v>
      </c>
      <c r="J381" s="224">
        <v>-9.7100000000000009</v>
      </c>
      <c r="K381" s="224">
        <v>-28.47</v>
      </c>
      <c r="L381" s="224"/>
      <c r="M381" s="226"/>
      <c r="N381" s="226"/>
      <c r="O381" s="226"/>
      <c r="P381" s="225">
        <f t="shared" si="150"/>
        <v>100</v>
      </c>
    </row>
    <row r="382" spans="1:16" x14ac:dyDescent="0.25">
      <c r="A382" s="198">
        <v>370</v>
      </c>
      <c r="B382" s="208" t="s">
        <v>21</v>
      </c>
      <c r="C382" s="195" t="s">
        <v>158</v>
      </c>
      <c r="D382" s="195" t="s">
        <v>131</v>
      </c>
      <c r="E382" s="195" t="s">
        <v>448</v>
      </c>
      <c r="F382" s="198">
        <v>200</v>
      </c>
      <c r="G382" s="32">
        <f>G383</f>
        <v>10.71</v>
      </c>
      <c r="H382" s="32">
        <f t="shared" ref="H382:I382" si="171">H383</f>
        <v>10.71</v>
      </c>
      <c r="I382" s="32">
        <f t="shared" si="171"/>
        <v>10.712999999999999</v>
      </c>
      <c r="J382" s="224"/>
      <c r="K382" s="224"/>
      <c r="L382" s="224"/>
      <c r="M382" s="226"/>
      <c r="N382" s="226"/>
      <c r="O382" s="226"/>
      <c r="P382" s="225">
        <f t="shared" si="150"/>
        <v>100.02801120448177</v>
      </c>
    </row>
    <row r="383" spans="1:16" x14ac:dyDescent="0.25">
      <c r="A383" s="198">
        <v>371</v>
      </c>
      <c r="B383" s="208" t="s">
        <v>22</v>
      </c>
      <c r="C383" s="195" t="s">
        <v>158</v>
      </c>
      <c r="D383" s="195" t="s">
        <v>131</v>
      </c>
      <c r="E383" s="195" t="s">
        <v>448</v>
      </c>
      <c r="F383" s="198">
        <v>240</v>
      </c>
      <c r="G383" s="32">
        <f>1+9.71</f>
        <v>10.71</v>
      </c>
      <c r="H383" s="32">
        <v>10.71</v>
      </c>
      <c r="I383" s="32">
        <v>10.712999999999999</v>
      </c>
      <c r="J383" s="224">
        <v>9.7100000000000009</v>
      </c>
      <c r="K383" s="224"/>
      <c r="L383" s="224"/>
      <c r="M383" s="226"/>
      <c r="N383" s="226"/>
      <c r="O383" s="226"/>
      <c r="P383" s="225">
        <f t="shared" si="150"/>
        <v>100.02801120448177</v>
      </c>
    </row>
    <row r="384" spans="1:16" ht="36" customHeight="1" x14ac:dyDescent="0.25">
      <c r="A384" s="198">
        <v>372</v>
      </c>
      <c r="B384" s="239" t="s">
        <v>238</v>
      </c>
      <c r="C384" s="195" t="s">
        <v>158</v>
      </c>
      <c r="D384" s="48"/>
      <c r="E384" s="48"/>
      <c r="F384" s="48"/>
      <c r="G384" s="51">
        <f>G385</f>
        <v>5016.6400000000003</v>
      </c>
      <c r="H384" s="51">
        <f t="shared" ref="H384:I387" si="172">H385</f>
        <v>5016.6400000000003</v>
      </c>
      <c r="I384" s="51">
        <f t="shared" si="172"/>
        <v>4939.76</v>
      </c>
      <c r="J384" s="224"/>
      <c r="K384" s="224"/>
      <c r="L384" s="224"/>
      <c r="M384" s="226"/>
      <c r="N384" s="226"/>
      <c r="O384" s="226"/>
      <c r="P384" s="225">
        <f t="shared" si="150"/>
        <v>98.467500159469282</v>
      </c>
    </row>
    <row r="385" spans="1:16" x14ac:dyDescent="0.25">
      <c r="A385" s="198">
        <v>373</v>
      </c>
      <c r="B385" s="65" t="s">
        <v>100</v>
      </c>
      <c r="C385" s="195" t="s">
        <v>158</v>
      </c>
      <c r="D385" s="195" t="s">
        <v>101</v>
      </c>
      <c r="E385" s="198"/>
      <c r="F385" s="198"/>
      <c r="G385" s="32">
        <f>G386</f>
        <v>5016.6400000000003</v>
      </c>
      <c r="H385" s="32">
        <f t="shared" si="172"/>
        <v>5016.6400000000003</v>
      </c>
      <c r="I385" s="32">
        <f t="shared" si="172"/>
        <v>4939.76</v>
      </c>
      <c r="J385" s="224"/>
      <c r="K385" s="224"/>
      <c r="L385" s="224"/>
      <c r="M385" s="226"/>
      <c r="N385" s="226"/>
      <c r="O385" s="226"/>
      <c r="P385" s="225">
        <f t="shared" si="150"/>
        <v>98.467500159469282</v>
      </c>
    </row>
    <row r="386" spans="1:16" ht="30" x14ac:dyDescent="0.25">
      <c r="A386" s="198">
        <v>374</v>
      </c>
      <c r="B386" s="208" t="s">
        <v>76</v>
      </c>
      <c r="C386" s="195" t="s">
        <v>158</v>
      </c>
      <c r="D386" s="195" t="s">
        <v>102</v>
      </c>
      <c r="E386" s="198"/>
      <c r="F386" s="198"/>
      <c r="G386" s="32">
        <f>G387</f>
        <v>5016.6400000000003</v>
      </c>
      <c r="H386" s="32">
        <f t="shared" si="172"/>
        <v>5016.6400000000003</v>
      </c>
      <c r="I386" s="32">
        <f t="shared" si="172"/>
        <v>4939.76</v>
      </c>
      <c r="J386" s="224"/>
      <c r="K386" s="224"/>
      <c r="L386" s="224"/>
      <c r="M386" s="226"/>
      <c r="N386" s="226"/>
      <c r="O386" s="226"/>
      <c r="P386" s="225">
        <f t="shared" si="150"/>
        <v>98.467500159469282</v>
      </c>
    </row>
    <row r="387" spans="1:16" ht="30" x14ac:dyDescent="0.25">
      <c r="A387" s="198">
        <v>375</v>
      </c>
      <c r="B387" s="199" t="s">
        <v>151</v>
      </c>
      <c r="C387" s="195" t="s">
        <v>158</v>
      </c>
      <c r="D387" s="195" t="s">
        <v>102</v>
      </c>
      <c r="E387" s="195" t="s">
        <v>192</v>
      </c>
      <c r="F387" s="198"/>
      <c r="G387" s="32">
        <f>G388</f>
        <v>5016.6400000000003</v>
      </c>
      <c r="H387" s="32">
        <f t="shared" si="172"/>
        <v>5016.6400000000003</v>
      </c>
      <c r="I387" s="32">
        <f t="shared" si="172"/>
        <v>4939.76</v>
      </c>
      <c r="J387" s="224"/>
      <c r="K387" s="224"/>
      <c r="L387" s="224"/>
      <c r="M387" s="226"/>
      <c r="N387" s="226"/>
      <c r="O387" s="226"/>
      <c r="P387" s="225">
        <f t="shared" si="150"/>
        <v>98.467500159469282</v>
      </c>
    </row>
    <row r="388" spans="1:16" ht="30" x14ac:dyDescent="0.25">
      <c r="A388" s="198">
        <v>376</v>
      </c>
      <c r="B388" s="66" t="s">
        <v>310</v>
      </c>
      <c r="C388" s="195" t="s">
        <v>158</v>
      </c>
      <c r="D388" s="195" t="s">
        <v>102</v>
      </c>
      <c r="E388" s="195" t="s">
        <v>193</v>
      </c>
      <c r="F388" s="198"/>
      <c r="G388" s="32">
        <f>G389+G405+G402+G399+G396</f>
        <v>5016.6400000000003</v>
      </c>
      <c r="H388" s="32">
        <f t="shared" ref="H388:I388" si="173">H389+H405+H402+H399+H396</f>
        <v>5016.6400000000003</v>
      </c>
      <c r="I388" s="32">
        <f t="shared" si="173"/>
        <v>4939.76</v>
      </c>
      <c r="J388" s="224"/>
      <c r="K388" s="224"/>
      <c r="L388" s="224"/>
      <c r="M388" s="226"/>
      <c r="N388" s="226"/>
      <c r="O388" s="226"/>
      <c r="P388" s="225">
        <f t="shared" si="150"/>
        <v>98.467500159469282</v>
      </c>
    </row>
    <row r="389" spans="1:16" ht="60" x14ac:dyDescent="0.25">
      <c r="A389" s="198">
        <v>377</v>
      </c>
      <c r="B389" s="199" t="s">
        <v>351</v>
      </c>
      <c r="C389" s="195" t="s">
        <v>158</v>
      </c>
      <c r="D389" s="195" t="s">
        <v>102</v>
      </c>
      <c r="E389" s="195" t="s">
        <v>301</v>
      </c>
      <c r="F389" s="198"/>
      <c r="G389" s="32">
        <f>G390+G392+G394</f>
        <v>4744.0200000000004</v>
      </c>
      <c r="H389" s="32">
        <f t="shared" ref="H389:I389" si="174">H390+H392+H394</f>
        <v>4744.0200000000004</v>
      </c>
      <c r="I389" s="32">
        <f t="shared" si="174"/>
        <v>4667.1400000000003</v>
      </c>
      <c r="J389" s="224"/>
      <c r="K389" s="224"/>
      <c r="L389" s="224"/>
      <c r="M389" s="226"/>
      <c r="N389" s="226"/>
      <c r="O389" s="226"/>
      <c r="P389" s="225">
        <f t="shared" si="150"/>
        <v>98.379433476250099</v>
      </c>
    </row>
    <row r="390" spans="1:16" ht="45" x14ac:dyDescent="0.25">
      <c r="A390" s="198">
        <v>378</v>
      </c>
      <c r="B390" s="208" t="s">
        <v>16</v>
      </c>
      <c r="C390" s="195" t="s">
        <v>158</v>
      </c>
      <c r="D390" s="195" t="s">
        <v>102</v>
      </c>
      <c r="E390" s="195" t="s">
        <v>301</v>
      </c>
      <c r="F390" s="198">
        <v>100</v>
      </c>
      <c r="G390" s="32">
        <f>G391</f>
        <v>4096.05</v>
      </c>
      <c r="H390" s="32">
        <f t="shared" ref="H390:I390" si="175">H391</f>
        <v>4096.05</v>
      </c>
      <c r="I390" s="32">
        <f t="shared" si="175"/>
        <v>4029.13</v>
      </c>
      <c r="J390" s="224"/>
      <c r="K390" s="224"/>
      <c r="L390" s="224"/>
      <c r="M390" s="226"/>
      <c r="N390" s="226"/>
      <c r="O390" s="226"/>
      <c r="P390" s="225">
        <f t="shared" si="150"/>
        <v>98.36623088097069</v>
      </c>
    </row>
    <row r="391" spans="1:16" x14ac:dyDescent="0.25">
      <c r="A391" s="198">
        <v>379</v>
      </c>
      <c r="B391" s="208" t="s">
        <v>65</v>
      </c>
      <c r="C391" s="195" t="s">
        <v>158</v>
      </c>
      <c r="D391" s="195" t="s">
        <v>102</v>
      </c>
      <c r="E391" s="195" t="s">
        <v>301</v>
      </c>
      <c r="F391" s="198">
        <v>110</v>
      </c>
      <c r="G391" s="32">
        <f>4126.05-30</f>
        <v>4096.05</v>
      </c>
      <c r="H391" s="32">
        <v>4096.05</v>
      </c>
      <c r="I391" s="32">
        <v>4029.13</v>
      </c>
      <c r="J391" s="224">
        <v>-30</v>
      </c>
      <c r="K391" s="224"/>
      <c r="L391" s="224"/>
      <c r="M391" s="226"/>
      <c r="N391" s="226"/>
      <c r="O391" s="226"/>
      <c r="P391" s="225">
        <f t="shared" si="150"/>
        <v>98.36623088097069</v>
      </c>
    </row>
    <row r="392" spans="1:16" x14ac:dyDescent="0.25">
      <c r="A392" s="198">
        <v>380</v>
      </c>
      <c r="B392" s="208" t="s">
        <v>21</v>
      </c>
      <c r="C392" s="195" t="s">
        <v>158</v>
      </c>
      <c r="D392" s="195" t="s">
        <v>102</v>
      </c>
      <c r="E392" s="195" t="s">
        <v>301</v>
      </c>
      <c r="F392" s="198">
        <v>200</v>
      </c>
      <c r="G392" s="32">
        <f>G393</f>
        <v>647.47</v>
      </c>
      <c r="H392" s="32">
        <f t="shared" ref="H392:I392" si="176">H393</f>
        <v>647.47</v>
      </c>
      <c r="I392" s="32">
        <f t="shared" si="176"/>
        <v>638.01</v>
      </c>
      <c r="J392" s="224"/>
      <c r="K392" s="224"/>
      <c r="L392" s="224"/>
      <c r="M392" s="226"/>
      <c r="N392" s="226"/>
      <c r="O392" s="226"/>
      <c r="P392" s="225">
        <f t="shared" si="150"/>
        <v>98.538928444561137</v>
      </c>
    </row>
    <row r="393" spans="1:16" x14ac:dyDescent="0.25">
      <c r="A393" s="198">
        <v>381</v>
      </c>
      <c r="B393" s="208" t="s">
        <v>22</v>
      </c>
      <c r="C393" s="195" t="s">
        <v>158</v>
      </c>
      <c r="D393" s="195" t="s">
        <v>102</v>
      </c>
      <c r="E393" s="195" t="s">
        <v>301</v>
      </c>
      <c r="F393" s="198">
        <v>240</v>
      </c>
      <c r="G393" s="32">
        <f>747.97-0.5-100</f>
        <v>647.47</v>
      </c>
      <c r="H393" s="32">
        <v>647.47</v>
      </c>
      <c r="I393" s="32">
        <v>638.01</v>
      </c>
      <c r="J393" s="224">
        <v>-100</v>
      </c>
      <c r="K393" s="224"/>
      <c r="L393" s="224"/>
      <c r="M393" s="226"/>
      <c r="N393" s="226"/>
      <c r="O393" s="226"/>
      <c r="P393" s="225">
        <f t="shared" si="150"/>
        <v>98.538928444561137</v>
      </c>
    </row>
    <row r="394" spans="1:16" x14ac:dyDescent="0.25">
      <c r="A394" s="198">
        <v>382</v>
      </c>
      <c r="B394" s="208" t="s">
        <v>33</v>
      </c>
      <c r="C394" s="195" t="s">
        <v>158</v>
      </c>
      <c r="D394" s="195" t="s">
        <v>102</v>
      </c>
      <c r="E394" s="195" t="s">
        <v>301</v>
      </c>
      <c r="F394" s="198">
        <v>800</v>
      </c>
      <c r="G394" s="32">
        <f>G395</f>
        <v>0.5</v>
      </c>
      <c r="H394" s="32">
        <f t="shared" ref="H394:I394" si="177">H395</f>
        <v>0.5</v>
      </c>
      <c r="I394" s="32">
        <f t="shared" si="177"/>
        <v>0</v>
      </c>
      <c r="J394" s="224"/>
      <c r="K394" s="224"/>
      <c r="L394" s="224"/>
      <c r="M394" s="226"/>
      <c r="N394" s="226"/>
      <c r="O394" s="226"/>
      <c r="P394" s="225">
        <f t="shared" si="150"/>
        <v>0</v>
      </c>
    </row>
    <row r="395" spans="1:16" x14ac:dyDescent="0.25">
      <c r="A395" s="198">
        <v>383</v>
      </c>
      <c r="B395" s="208" t="s">
        <v>82</v>
      </c>
      <c r="C395" s="195" t="s">
        <v>158</v>
      </c>
      <c r="D395" s="195" t="s">
        <v>102</v>
      </c>
      <c r="E395" s="195" t="s">
        <v>301</v>
      </c>
      <c r="F395" s="198">
        <v>850</v>
      </c>
      <c r="G395" s="32">
        <v>0.5</v>
      </c>
      <c r="H395" s="32">
        <v>0.5</v>
      </c>
      <c r="I395" s="32">
        <v>0</v>
      </c>
      <c r="J395" s="224"/>
      <c r="K395" s="224"/>
      <c r="L395" s="224"/>
      <c r="M395" s="226"/>
      <c r="N395" s="226"/>
      <c r="O395" s="226"/>
      <c r="P395" s="225">
        <f t="shared" si="150"/>
        <v>0</v>
      </c>
    </row>
    <row r="396" spans="1:16" ht="30" x14ac:dyDescent="0.25">
      <c r="A396" s="198">
        <v>384</v>
      </c>
      <c r="B396" s="208" t="s">
        <v>564</v>
      </c>
      <c r="C396" s="195" t="s">
        <v>158</v>
      </c>
      <c r="D396" s="195" t="s">
        <v>102</v>
      </c>
      <c r="E396" s="195" t="s">
        <v>565</v>
      </c>
      <c r="F396" s="198"/>
      <c r="G396" s="32">
        <f>G397</f>
        <v>20.059999999999999</v>
      </c>
      <c r="H396" s="32">
        <f t="shared" ref="H396:I397" si="178">H397</f>
        <v>20.059999999999999</v>
      </c>
      <c r="I396" s="32">
        <f t="shared" si="178"/>
        <v>20.059999999999999</v>
      </c>
      <c r="J396" s="224"/>
      <c r="K396" s="224"/>
      <c r="L396" s="224"/>
      <c r="M396" s="226"/>
      <c r="N396" s="226"/>
      <c r="O396" s="226"/>
      <c r="P396" s="225">
        <f t="shared" si="150"/>
        <v>100</v>
      </c>
    </row>
    <row r="397" spans="1:16" ht="45" x14ac:dyDescent="0.25">
      <c r="A397" s="198">
        <v>385</v>
      </c>
      <c r="B397" s="208" t="s">
        <v>16</v>
      </c>
      <c r="C397" s="195" t="s">
        <v>158</v>
      </c>
      <c r="D397" s="195" t="s">
        <v>102</v>
      </c>
      <c r="E397" s="195" t="s">
        <v>565</v>
      </c>
      <c r="F397" s="198">
        <v>100</v>
      </c>
      <c r="G397" s="32">
        <f>G398</f>
        <v>20.059999999999999</v>
      </c>
      <c r="H397" s="32">
        <f t="shared" si="178"/>
        <v>20.059999999999999</v>
      </c>
      <c r="I397" s="32">
        <f t="shared" si="178"/>
        <v>20.059999999999999</v>
      </c>
      <c r="J397" s="224"/>
      <c r="K397" s="224"/>
      <c r="L397" s="224"/>
      <c r="M397" s="226"/>
      <c r="N397" s="226"/>
      <c r="O397" s="226"/>
      <c r="P397" s="225">
        <f t="shared" si="150"/>
        <v>100</v>
      </c>
    </row>
    <row r="398" spans="1:16" x14ac:dyDescent="0.25">
      <c r="A398" s="198">
        <v>386</v>
      </c>
      <c r="B398" s="208" t="s">
        <v>65</v>
      </c>
      <c r="C398" s="195" t="s">
        <v>158</v>
      </c>
      <c r="D398" s="195" t="s">
        <v>102</v>
      </c>
      <c r="E398" s="195" t="s">
        <v>565</v>
      </c>
      <c r="F398" s="198">
        <v>110</v>
      </c>
      <c r="G398" s="32">
        <v>20.059999999999999</v>
      </c>
      <c r="H398" s="32">
        <v>20.059999999999999</v>
      </c>
      <c r="I398" s="32">
        <v>20.059999999999999</v>
      </c>
      <c r="J398" s="224"/>
      <c r="K398" s="224"/>
      <c r="L398" s="224"/>
      <c r="M398" s="226"/>
      <c r="N398" s="226"/>
      <c r="O398" s="226"/>
      <c r="P398" s="225">
        <f t="shared" ref="P398:P461" si="179">I398/H398*100</f>
        <v>100</v>
      </c>
    </row>
    <row r="399" spans="1:16" ht="30" x14ac:dyDescent="0.25">
      <c r="A399" s="198">
        <v>387</v>
      </c>
      <c r="B399" s="208" t="s">
        <v>491</v>
      </c>
      <c r="C399" s="195" t="s">
        <v>158</v>
      </c>
      <c r="D399" s="195" t="s">
        <v>102</v>
      </c>
      <c r="E399" s="195" t="s">
        <v>494</v>
      </c>
      <c r="F399" s="198"/>
      <c r="G399" s="32">
        <f>G400</f>
        <v>147.44</v>
      </c>
      <c r="H399" s="32">
        <f t="shared" ref="H399:I400" si="180">H400</f>
        <v>147.44</v>
      </c>
      <c r="I399" s="32">
        <f t="shared" si="180"/>
        <v>147.44</v>
      </c>
      <c r="J399" s="224"/>
      <c r="K399" s="224"/>
      <c r="L399" s="224"/>
      <c r="M399" s="226"/>
      <c r="N399" s="226"/>
      <c r="O399" s="226"/>
      <c r="P399" s="225">
        <f t="shared" si="179"/>
        <v>100</v>
      </c>
    </row>
    <row r="400" spans="1:16" ht="45" x14ac:dyDescent="0.25">
      <c r="A400" s="198">
        <v>388</v>
      </c>
      <c r="B400" s="208" t="s">
        <v>16</v>
      </c>
      <c r="C400" s="195" t="s">
        <v>158</v>
      </c>
      <c r="D400" s="195" t="s">
        <v>102</v>
      </c>
      <c r="E400" s="195" t="s">
        <v>494</v>
      </c>
      <c r="F400" s="198">
        <v>100</v>
      </c>
      <c r="G400" s="32">
        <f>G401</f>
        <v>147.44</v>
      </c>
      <c r="H400" s="32">
        <f t="shared" si="180"/>
        <v>147.44</v>
      </c>
      <c r="I400" s="32">
        <f t="shared" si="180"/>
        <v>147.44</v>
      </c>
      <c r="J400" s="224"/>
      <c r="K400" s="224"/>
      <c r="L400" s="224"/>
      <c r="M400" s="226"/>
      <c r="N400" s="226"/>
      <c r="O400" s="226"/>
      <c r="P400" s="225">
        <f t="shared" si="179"/>
        <v>100</v>
      </c>
    </row>
    <row r="401" spans="1:16" x14ac:dyDescent="0.25">
      <c r="A401" s="198">
        <v>389</v>
      </c>
      <c r="B401" s="208" t="s">
        <v>65</v>
      </c>
      <c r="C401" s="195" t="s">
        <v>158</v>
      </c>
      <c r="D401" s="195" t="s">
        <v>102</v>
      </c>
      <c r="E401" s="195" t="s">
        <v>494</v>
      </c>
      <c r="F401" s="198">
        <v>110</v>
      </c>
      <c r="G401" s="32">
        <v>147.44</v>
      </c>
      <c r="H401" s="32">
        <v>147.44</v>
      </c>
      <c r="I401" s="32">
        <v>147.44</v>
      </c>
      <c r="J401" s="224">
        <v>147.44</v>
      </c>
      <c r="K401" s="224"/>
      <c r="L401" s="224"/>
      <c r="M401" s="226"/>
      <c r="N401" s="226"/>
      <c r="O401" s="226"/>
      <c r="P401" s="225">
        <f t="shared" si="179"/>
        <v>100</v>
      </c>
    </row>
    <row r="402" spans="1:16" ht="45" x14ac:dyDescent="0.25">
      <c r="A402" s="198">
        <v>390</v>
      </c>
      <c r="B402" s="203" t="s">
        <v>353</v>
      </c>
      <c r="C402" s="195" t="s">
        <v>158</v>
      </c>
      <c r="D402" s="195" t="s">
        <v>102</v>
      </c>
      <c r="E402" s="195" t="s">
        <v>356</v>
      </c>
      <c r="F402" s="198"/>
      <c r="G402" s="32">
        <f>G403</f>
        <v>95.61999999999999</v>
      </c>
      <c r="H402" s="32">
        <f t="shared" ref="H402:I403" si="181">H403</f>
        <v>95.62</v>
      </c>
      <c r="I402" s="32">
        <f t="shared" si="181"/>
        <v>95.62</v>
      </c>
      <c r="J402" s="224"/>
      <c r="K402" s="224"/>
      <c r="L402" s="224"/>
      <c r="M402" s="226"/>
      <c r="N402" s="226"/>
      <c r="O402" s="226"/>
      <c r="P402" s="225">
        <f t="shared" si="179"/>
        <v>100</v>
      </c>
    </row>
    <row r="403" spans="1:16" ht="45" x14ac:dyDescent="0.25">
      <c r="A403" s="198">
        <v>391</v>
      </c>
      <c r="B403" s="208" t="s">
        <v>16</v>
      </c>
      <c r="C403" s="195" t="s">
        <v>158</v>
      </c>
      <c r="D403" s="195" t="s">
        <v>102</v>
      </c>
      <c r="E403" s="195" t="s">
        <v>356</v>
      </c>
      <c r="F403" s="198">
        <v>100</v>
      </c>
      <c r="G403" s="32">
        <f>G404</f>
        <v>95.61999999999999</v>
      </c>
      <c r="H403" s="32">
        <f t="shared" si="181"/>
        <v>95.62</v>
      </c>
      <c r="I403" s="32">
        <f t="shared" si="181"/>
        <v>95.62</v>
      </c>
      <c r="J403" s="224"/>
      <c r="K403" s="224"/>
      <c r="L403" s="224"/>
      <c r="M403" s="226"/>
      <c r="N403" s="226"/>
      <c r="O403" s="226"/>
      <c r="P403" s="225">
        <f t="shared" si="179"/>
        <v>100</v>
      </c>
    </row>
    <row r="404" spans="1:16" x14ac:dyDescent="0.25">
      <c r="A404" s="198">
        <v>392</v>
      </c>
      <c r="B404" s="208" t="s">
        <v>65</v>
      </c>
      <c r="C404" s="195" t="s">
        <v>158</v>
      </c>
      <c r="D404" s="195" t="s">
        <v>102</v>
      </c>
      <c r="E404" s="195" t="s">
        <v>356</v>
      </c>
      <c r="F404" s="198">
        <v>110</v>
      </c>
      <c r="G404" s="32">
        <f>71.71+23.91</f>
        <v>95.61999999999999</v>
      </c>
      <c r="H404" s="32">
        <v>95.62</v>
      </c>
      <c r="I404" s="32">
        <v>95.62</v>
      </c>
      <c r="J404" s="224"/>
      <c r="K404" s="224"/>
      <c r="L404" s="224"/>
      <c r="M404" s="226"/>
      <c r="N404" s="226"/>
      <c r="O404" s="226"/>
      <c r="P404" s="225">
        <f t="shared" si="179"/>
        <v>100</v>
      </c>
    </row>
    <row r="405" spans="1:16" x14ac:dyDescent="0.25">
      <c r="A405" s="198">
        <v>393</v>
      </c>
      <c r="B405" s="203" t="s">
        <v>302</v>
      </c>
      <c r="C405" s="195" t="s">
        <v>158</v>
      </c>
      <c r="D405" s="195" t="s">
        <v>102</v>
      </c>
      <c r="E405" s="195" t="s">
        <v>303</v>
      </c>
      <c r="F405" s="198"/>
      <c r="G405" s="32">
        <f>G406</f>
        <v>9.5</v>
      </c>
      <c r="H405" s="32">
        <f t="shared" ref="H405:I406" si="182">H406</f>
        <v>9.5</v>
      </c>
      <c r="I405" s="32">
        <f t="shared" si="182"/>
        <v>9.5</v>
      </c>
      <c r="J405" s="224"/>
      <c r="K405" s="224"/>
      <c r="L405" s="224"/>
      <c r="M405" s="226"/>
      <c r="N405" s="226"/>
      <c r="O405" s="226"/>
      <c r="P405" s="225">
        <f t="shared" si="179"/>
        <v>100</v>
      </c>
    </row>
    <row r="406" spans="1:16" x14ac:dyDescent="0.25">
      <c r="A406" s="198">
        <v>394</v>
      </c>
      <c r="B406" s="208" t="s">
        <v>21</v>
      </c>
      <c r="C406" s="195" t="s">
        <v>158</v>
      </c>
      <c r="D406" s="195" t="s">
        <v>102</v>
      </c>
      <c r="E406" s="195" t="s">
        <v>303</v>
      </c>
      <c r="F406" s="198">
        <v>200</v>
      </c>
      <c r="G406" s="32">
        <f>G407</f>
        <v>9.5</v>
      </c>
      <c r="H406" s="32">
        <f t="shared" si="182"/>
        <v>9.5</v>
      </c>
      <c r="I406" s="32">
        <f t="shared" si="182"/>
        <v>9.5</v>
      </c>
      <c r="J406" s="224"/>
      <c r="K406" s="224"/>
      <c r="L406" s="224"/>
      <c r="M406" s="226"/>
      <c r="N406" s="226"/>
      <c r="O406" s="226"/>
      <c r="P406" s="225">
        <f t="shared" si="179"/>
        <v>100</v>
      </c>
    </row>
    <row r="407" spans="1:16" x14ac:dyDescent="0.25">
      <c r="A407" s="198">
        <v>395</v>
      </c>
      <c r="B407" s="208" t="s">
        <v>22</v>
      </c>
      <c r="C407" s="195" t="s">
        <v>158</v>
      </c>
      <c r="D407" s="195" t="s">
        <v>102</v>
      </c>
      <c r="E407" s="195" t="s">
        <v>303</v>
      </c>
      <c r="F407" s="198">
        <v>240</v>
      </c>
      <c r="G407" s="32">
        <f>0.5+9</f>
        <v>9.5</v>
      </c>
      <c r="H407" s="32">
        <f>0.5+9</f>
        <v>9.5</v>
      </c>
      <c r="I407" s="32">
        <f>0.5+9</f>
        <v>9.5</v>
      </c>
      <c r="J407" s="224"/>
      <c r="K407" s="224"/>
      <c r="L407" s="224"/>
      <c r="M407" s="226"/>
      <c r="N407" s="226"/>
      <c r="O407" s="226"/>
      <c r="P407" s="225">
        <f t="shared" si="179"/>
        <v>100</v>
      </c>
    </row>
    <row r="408" spans="1:16" ht="28.5" x14ac:dyDescent="0.25">
      <c r="A408" s="198">
        <v>396</v>
      </c>
      <c r="B408" s="239" t="s">
        <v>239</v>
      </c>
      <c r="C408" s="195" t="s">
        <v>158</v>
      </c>
      <c r="D408" s="198"/>
      <c r="E408" s="198"/>
      <c r="F408" s="198"/>
      <c r="G408" s="32">
        <f>G409</f>
        <v>2314.9500000000003</v>
      </c>
      <c r="H408" s="32">
        <f t="shared" ref="H408:I408" si="183">H409</f>
        <v>2314.9500000000003</v>
      </c>
      <c r="I408" s="32">
        <f t="shared" si="183"/>
        <v>2305.3065800000004</v>
      </c>
      <c r="J408" s="224"/>
      <c r="K408" s="224"/>
      <c r="L408" s="224"/>
      <c r="M408" s="226"/>
      <c r="N408" s="226"/>
      <c r="O408" s="226"/>
      <c r="P408" s="225">
        <f t="shared" si="179"/>
        <v>99.583428583770711</v>
      </c>
    </row>
    <row r="409" spans="1:16" x14ac:dyDescent="0.25">
      <c r="A409" s="198">
        <v>397</v>
      </c>
      <c r="B409" s="62" t="s">
        <v>87</v>
      </c>
      <c r="C409" s="195" t="s">
        <v>158</v>
      </c>
      <c r="D409" s="195" t="s">
        <v>88</v>
      </c>
      <c r="E409" s="198"/>
      <c r="F409" s="198"/>
      <c r="G409" s="32">
        <f>G410</f>
        <v>2314.9500000000003</v>
      </c>
      <c r="H409" s="32">
        <f t="shared" ref="H409:I409" si="184">H410</f>
        <v>2314.9500000000003</v>
      </c>
      <c r="I409" s="32">
        <f t="shared" si="184"/>
        <v>2305.3065800000004</v>
      </c>
      <c r="J409" s="224"/>
      <c r="K409" s="224"/>
      <c r="L409" s="224"/>
      <c r="M409" s="226"/>
      <c r="N409" s="226"/>
      <c r="O409" s="226"/>
      <c r="P409" s="225">
        <f t="shared" si="179"/>
        <v>99.583428583770711</v>
      </c>
    </row>
    <row r="410" spans="1:16" x14ac:dyDescent="0.25">
      <c r="A410" s="198">
        <v>398</v>
      </c>
      <c r="B410" s="199" t="s">
        <v>62</v>
      </c>
      <c r="C410" s="195" t="s">
        <v>158</v>
      </c>
      <c r="D410" s="195" t="s">
        <v>96</v>
      </c>
      <c r="E410" s="198"/>
      <c r="F410" s="198"/>
      <c r="G410" s="32">
        <f>G411</f>
        <v>2314.9500000000003</v>
      </c>
      <c r="H410" s="32">
        <f t="shared" ref="H410:I410" si="185">H411</f>
        <v>2314.9500000000003</v>
      </c>
      <c r="I410" s="32">
        <f t="shared" si="185"/>
        <v>2305.3065800000004</v>
      </c>
      <c r="J410" s="224"/>
      <c r="K410" s="224"/>
      <c r="L410" s="224"/>
      <c r="M410" s="226"/>
      <c r="N410" s="226"/>
      <c r="O410" s="226"/>
      <c r="P410" s="225">
        <f t="shared" si="179"/>
        <v>99.583428583770711</v>
      </c>
    </row>
    <row r="411" spans="1:16" x14ac:dyDescent="0.25">
      <c r="A411" s="198">
        <v>399</v>
      </c>
      <c r="B411" s="199" t="s">
        <v>349</v>
      </c>
      <c r="C411" s="195" t="s">
        <v>158</v>
      </c>
      <c r="D411" s="195" t="s">
        <v>96</v>
      </c>
      <c r="E411" s="195" t="s">
        <v>194</v>
      </c>
      <c r="F411" s="198"/>
      <c r="G411" s="32">
        <f>G412</f>
        <v>2314.9500000000003</v>
      </c>
      <c r="H411" s="32">
        <f t="shared" ref="H411:I411" si="186">H412</f>
        <v>2314.9500000000003</v>
      </c>
      <c r="I411" s="32">
        <f t="shared" si="186"/>
        <v>2305.3065800000004</v>
      </c>
      <c r="J411" s="224"/>
      <c r="K411" s="224"/>
      <c r="L411" s="224"/>
      <c r="M411" s="226"/>
      <c r="N411" s="226"/>
      <c r="O411" s="226"/>
      <c r="P411" s="225">
        <f t="shared" si="179"/>
        <v>99.583428583770711</v>
      </c>
    </row>
    <row r="412" spans="1:16" x14ac:dyDescent="0.25">
      <c r="A412" s="198">
        <v>400</v>
      </c>
      <c r="B412" s="199" t="s">
        <v>63</v>
      </c>
      <c r="C412" s="195" t="s">
        <v>158</v>
      </c>
      <c r="D412" s="195" t="s">
        <v>96</v>
      </c>
      <c r="E412" s="195" t="s">
        <v>195</v>
      </c>
      <c r="F412" s="198"/>
      <c r="G412" s="32">
        <f>G413+G429+G426+G423+G420</f>
        <v>2314.9500000000003</v>
      </c>
      <c r="H412" s="32">
        <f t="shared" ref="H412:I412" si="187">H413+H429+H426+H423+H420</f>
        <v>2314.9500000000003</v>
      </c>
      <c r="I412" s="32">
        <f t="shared" si="187"/>
        <v>2305.3065800000004</v>
      </c>
      <c r="J412" s="224"/>
      <c r="K412" s="224"/>
      <c r="L412" s="224"/>
      <c r="M412" s="226"/>
      <c r="N412" s="226"/>
      <c r="O412" s="226"/>
      <c r="P412" s="225">
        <f t="shared" si="179"/>
        <v>99.583428583770711</v>
      </c>
    </row>
    <row r="413" spans="1:16" ht="45" x14ac:dyDescent="0.25">
      <c r="A413" s="198">
        <v>401</v>
      </c>
      <c r="B413" s="199" t="s">
        <v>350</v>
      </c>
      <c r="C413" s="195" t="s">
        <v>158</v>
      </c>
      <c r="D413" s="195" t="s">
        <v>96</v>
      </c>
      <c r="E413" s="195" t="s">
        <v>196</v>
      </c>
      <c r="F413" s="198"/>
      <c r="G413" s="32">
        <f>G414+G416+G418</f>
        <v>1934.63</v>
      </c>
      <c r="H413" s="32">
        <f t="shared" ref="H413:I413" si="188">H414+H416+H418</f>
        <v>1934.63</v>
      </c>
      <c r="I413" s="32">
        <f t="shared" si="188"/>
        <v>1927.6265799999999</v>
      </c>
      <c r="J413" s="224"/>
      <c r="K413" s="224"/>
      <c r="L413" s="224"/>
      <c r="M413" s="226"/>
      <c r="N413" s="226"/>
      <c r="O413" s="226"/>
      <c r="P413" s="225">
        <f t="shared" si="179"/>
        <v>99.637996929645439</v>
      </c>
    </row>
    <row r="414" spans="1:16" ht="45" x14ac:dyDescent="0.25">
      <c r="A414" s="198">
        <v>402</v>
      </c>
      <c r="B414" s="208" t="s">
        <v>16</v>
      </c>
      <c r="C414" s="195" t="s">
        <v>158</v>
      </c>
      <c r="D414" s="195" t="s">
        <v>96</v>
      </c>
      <c r="E414" s="195" t="s">
        <v>196</v>
      </c>
      <c r="F414" s="198">
        <v>100</v>
      </c>
      <c r="G414" s="32">
        <f>G415</f>
        <v>1184.44</v>
      </c>
      <c r="H414" s="32">
        <f t="shared" ref="H414:I414" si="189">H415</f>
        <v>1184.44</v>
      </c>
      <c r="I414" s="32">
        <f t="shared" si="189"/>
        <v>1178.1020000000001</v>
      </c>
      <c r="J414" s="224"/>
      <c r="K414" s="224"/>
      <c r="L414" s="224"/>
      <c r="M414" s="226"/>
      <c r="N414" s="226"/>
      <c r="O414" s="226"/>
      <c r="P414" s="225">
        <f t="shared" si="179"/>
        <v>99.464894802607134</v>
      </c>
    </row>
    <row r="415" spans="1:16" x14ac:dyDescent="0.25">
      <c r="A415" s="198">
        <v>403</v>
      </c>
      <c r="B415" s="208" t="s">
        <v>65</v>
      </c>
      <c r="C415" s="195" t="s">
        <v>158</v>
      </c>
      <c r="D415" s="195" t="s">
        <v>96</v>
      </c>
      <c r="E415" s="195" t="s">
        <v>196</v>
      </c>
      <c r="F415" s="198">
        <v>110</v>
      </c>
      <c r="G415" s="32">
        <f>1400.13-70-160+14.31</f>
        <v>1184.44</v>
      </c>
      <c r="H415" s="32">
        <v>1184.44</v>
      </c>
      <c r="I415" s="32">
        <v>1178.1020000000001</v>
      </c>
      <c r="J415" s="224">
        <v>-230</v>
      </c>
      <c r="K415" s="224"/>
      <c r="L415" s="224"/>
      <c r="M415" s="226"/>
      <c r="N415" s="226"/>
      <c r="O415" s="226"/>
      <c r="P415" s="225">
        <f t="shared" si="179"/>
        <v>99.464894802607134</v>
      </c>
    </row>
    <row r="416" spans="1:16" x14ac:dyDescent="0.25">
      <c r="A416" s="198">
        <v>404</v>
      </c>
      <c r="B416" s="208" t="s">
        <v>21</v>
      </c>
      <c r="C416" s="195" t="s">
        <v>158</v>
      </c>
      <c r="D416" s="195" t="s">
        <v>96</v>
      </c>
      <c r="E416" s="195" t="s">
        <v>196</v>
      </c>
      <c r="F416" s="198">
        <v>200</v>
      </c>
      <c r="G416" s="32">
        <f>G417</f>
        <v>749.69</v>
      </c>
      <c r="H416" s="32">
        <f t="shared" ref="H416:I416" si="190">H417</f>
        <v>749.69</v>
      </c>
      <c r="I416" s="32">
        <f t="shared" si="190"/>
        <v>749.447</v>
      </c>
      <c r="J416" s="224"/>
      <c r="K416" s="224"/>
      <c r="L416" s="224"/>
      <c r="M416" s="226"/>
      <c r="N416" s="226"/>
      <c r="O416" s="226"/>
      <c r="P416" s="225">
        <f t="shared" si="179"/>
        <v>99.967586602462347</v>
      </c>
    </row>
    <row r="417" spans="1:16" x14ac:dyDescent="0.25">
      <c r="A417" s="198">
        <v>405</v>
      </c>
      <c r="B417" s="208" t="s">
        <v>22</v>
      </c>
      <c r="C417" s="195" t="s">
        <v>158</v>
      </c>
      <c r="D417" s="195" t="s">
        <v>96</v>
      </c>
      <c r="E417" s="195" t="s">
        <v>196</v>
      </c>
      <c r="F417" s="198">
        <v>240</v>
      </c>
      <c r="G417" s="32">
        <f>794.5-0.5-150+120-14.31</f>
        <v>749.69</v>
      </c>
      <c r="H417" s="32">
        <v>749.69</v>
      </c>
      <c r="I417" s="32">
        <v>749.447</v>
      </c>
      <c r="J417" s="224">
        <v>-150</v>
      </c>
      <c r="K417" s="224">
        <v>120</v>
      </c>
      <c r="L417" s="224"/>
      <c r="M417" s="226"/>
      <c r="N417" s="226"/>
      <c r="O417" s="226"/>
      <c r="P417" s="225">
        <f t="shared" si="179"/>
        <v>99.967586602462347</v>
      </c>
    </row>
    <row r="418" spans="1:16" x14ac:dyDescent="0.25">
      <c r="A418" s="198">
        <v>406</v>
      </c>
      <c r="B418" s="208" t="s">
        <v>33</v>
      </c>
      <c r="C418" s="195" t="s">
        <v>158</v>
      </c>
      <c r="D418" s="195" t="s">
        <v>96</v>
      </c>
      <c r="E418" s="195" t="s">
        <v>196</v>
      </c>
      <c r="F418" s="198">
        <v>800</v>
      </c>
      <c r="G418" s="32">
        <f>G419</f>
        <v>0.5</v>
      </c>
      <c r="H418" s="32">
        <f t="shared" ref="H418:I418" si="191">H419</f>
        <v>0.5</v>
      </c>
      <c r="I418" s="32">
        <f t="shared" si="191"/>
        <v>7.7579999999999996E-2</v>
      </c>
      <c r="J418" s="224"/>
      <c r="K418" s="224"/>
      <c r="L418" s="224"/>
      <c r="M418" s="226"/>
      <c r="N418" s="226"/>
      <c r="O418" s="226"/>
      <c r="P418" s="225">
        <f t="shared" si="179"/>
        <v>15.516</v>
      </c>
    </row>
    <row r="419" spans="1:16" x14ac:dyDescent="0.25">
      <c r="A419" s="198">
        <v>407</v>
      </c>
      <c r="B419" s="208" t="s">
        <v>82</v>
      </c>
      <c r="C419" s="195" t="s">
        <v>158</v>
      </c>
      <c r="D419" s="195" t="s">
        <v>96</v>
      </c>
      <c r="E419" s="195" t="s">
        <v>196</v>
      </c>
      <c r="F419" s="198">
        <v>850</v>
      </c>
      <c r="G419" s="32">
        <v>0.5</v>
      </c>
      <c r="H419" s="32">
        <v>0.5</v>
      </c>
      <c r="I419" s="32">
        <f>77.58/1000</f>
        <v>7.7579999999999996E-2</v>
      </c>
      <c r="J419" s="224"/>
      <c r="K419" s="224"/>
      <c r="L419" s="224"/>
      <c r="M419" s="226"/>
      <c r="N419" s="226"/>
      <c r="O419" s="226"/>
      <c r="P419" s="225">
        <f t="shared" si="179"/>
        <v>15.516</v>
      </c>
    </row>
    <row r="420" spans="1:16" ht="30" x14ac:dyDescent="0.25">
      <c r="A420" s="198">
        <v>408</v>
      </c>
      <c r="B420" s="208" t="s">
        <v>557</v>
      </c>
      <c r="C420" s="195" t="s">
        <v>158</v>
      </c>
      <c r="D420" s="195" t="s">
        <v>96</v>
      </c>
      <c r="E420" s="195" t="s">
        <v>566</v>
      </c>
      <c r="F420" s="198"/>
      <c r="G420" s="32">
        <f>G421</f>
        <v>10.050000000000001</v>
      </c>
      <c r="H420" s="32">
        <f t="shared" ref="H420:I421" si="192">H421</f>
        <v>10.050000000000001</v>
      </c>
      <c r="I420" s="32">
        <f t="shared" si="192"/>
        <v>10.050000000000001</v>
      </c>
      <c r="J420" s="224"/>
      <c r="K420" s="224"/>
      <c r="L420" s="224"/>
      <c r="M420" s="226"/>
      <c r="N420" s="226"/>
      <c r="O420" s="226"/>
      <c r="P420" s="225">
        <f t="shared" si="179"/>
        <v>100</v>
      </c>
    </row>
    <row r="421" spans="1:16" ht="45" x14ac:dyDescent="0.25">
      <c r="A421" s="198">
        <v>409</v>
      </c>
      <c r="B421" s="208" t="s">
        <v>16</v>
      </c>
      <c r="C421" s="195" t="s">
        <v>158</v>
      </c>
      <c r="D421" s="195" t="s">
        <v>96</v>
      </c>
      <c r="E421" s="195" t="s">
        <v>566</v>
      </c>
      <c r="F421" s="198">
        <v>100</v>
      </c>
      <c r="G421" s="32">
        <f>G422</f>
        <v>10.050000000000001</v>
      </c>
      <c r="H421" s="32">
        <f t="shared" si="192"/>
        <v>10.050000000000001</v>
      </c>
      <c r="I421" s="32">
        <f t="shared" si="192"/>
        <v>10.050000000000001</v>
      </c>
      <c r="J421" s="224"/>
      <c r="K421" s="224"/>
      <c r="L421" s="224"/>
      <c r="M421" s="226"/>
      <c r="N421" s="226"/>
      <c r="O421" s="226"/>
      <c r="P421" s="225">
        <f t="shared" si="179"/>
        <v>100</v>
      </c>
    </row>
    <row r="422" spans="1:16" x14ac:dyDescent="0.25">
      <c r="A422" s="198">
        <v>410</v>
      </c>
      <c r="B422" s="208" t="s">
        <v>65</v>
      </c>
      <c r="C422" s="195" t="s">
        <v>158</v>
      </c>
      <c r="D422" s="195" t="s">
        <v>96</v>
      </c>
      <c r="E422" s="195" t="s">
        <v>566</v>
      </c>
      <c r="F422" s="198">
        <v>110</v>
      </c>
      <c r="G422" s="32">
        <v>10.050000000000001</v>
      </c>
      <c r="H422" s="32">
        <v>10.050000000000001</v>
      </c>
      <c r="I422" s="32">
        <v>10.050000000000001</v>
      </c>
      <c r="J422" s="224"/>
      <c r="K422" s="224"/>
      <c r="L422" s="224"/>
      <c r="M422" s="226"/>
      <c r="N422" s="226"/>
      <c r="O422" s="226"/>
      <c r="P422" s="225">
        <f t="shared" si="179"/>
        <v>100</v>
      </c>
    </row>
    <row r="423" spans="1:16" ht="30" x14ac:dyDescent="0.25">
      <c r="A423" s="198">
        <v>411</v>
      </c>
      <c r="B423" s="208" t="s">
        <v>491</v>
      </c>
      <c r="C423" s="195" t="s">
        <v>158</v>
      </c>
      <c r="D423" s="195" t="s">
        <v>96</v>
      </c>
      <c r="E423" s="195" t="s">
        <v>492</v>
      </c>
      <c r="F423" s="198"/>
      <c r="G423" s="32">
        <f>G424</f>
        <v>73.86</v>
      </c>
      <c r="H423" s="32">
        <f t="shared" ref="H423:I424" si="193">H424</f>
        <v>73.86</v>
      </c>
      <c r="I423" s="32">
        <f t="shared" si="193"/>
        <v>73.86</v>
      </c>
      <c r="J423" s="224"/>
      <c r="K423" s="224"/>
      <c r="L423" s="224"/>
      <c r="M423" s="226"/>
      <c r="N423" s="226"/>
      <c r="O423" s="226"/>
      <c r="P423" s="225">
        <f t="shared" si="179"/>
        <v>100</v>
      </c>
    </row>
    <row r="424" spans="1:16" ht="45" x14ac:dyDescent="0.25">
      <c r="A424" s="198">
        <v>412</v>
      </c>
      <c r="B424" s="208" t="s">
        <v>16</v>
      </c>
      <c r="C424" s="195" t="s">
        <v>158</v>
      </c>
      <c r="D424" s="195" t="s">
        <v>96</v>
      </c>
      <c r="E424" s="195" t="s">
        <v>492</v>
      </c>
      <c r="F424" s="198">
        <v>100</v>
      </c>
      <c r="G424" s="32">
        <f>G425</f>
        <v>73.86</v>
      </c>
      <c r="H424" s="32">
        <f t="shared" si="193"/>
        <v>73.86</v>
      </c>
      <c r="I424" s="32">
        <f t="shared" si="193"/>
        <v>73.86</v>
      </c>
      <c r="J424" s="224"/>
      <c r="K424" s="224"/>
      <c r="L424" s="224"/>
      <c r="M424" s="226"/>
      <c r="N424" s="226"/>
      <c r="O424" s="226"/>
      <c r="P424" s="225">
        <f t="shared" si="179"/>
        <v>100</v>
      </c>
    </row>
    <row r="425" spans="1:16" x14ac:dyDescent="0.25">
      <c r="A425" s="198">
        <v>413</v>
      </c>
      <c r="B425" s="208" t="s">
        <v>65</v>
      </c>
      <c r="C425" s="195" t="s">
        <v>158</v>
      </c>
      <c r="D425" s="195" t="s">
        <v>96</v>
      </c>
      <c r="E425" s="195" t="s">
        <v>492</v>
      </c>
      <c r="F425" s="198">
        <v>110</v>
      </c>
      <c r="G425" s="32">
        <v>73.86</v>
      </c>
      <c r="H425" s="32">
        <v>73.86</v>
      </c>
      <c r="I425" s="32">
        <v>73.86</v>
      </c>
      <c r="J425" s="224">
        <v>73.86</v>
      </c>
      <c r="K425" s="224"/>
      <c r="L425" s="224"/>
      <c r="M425" s="226"/>
      <c r="N425" s="226"/>
      <c r="O425" s="226"/>
      <c r="P425" s="225">
        <f t="shared" si="179"/>
        <v>100</v>
      </c>
    </row>
    <row r="426" spans="1:16" ht="45" x14ac:dyDescent="0.25">
      <c r="A426" s="198">
        <v>414</v>
      </c>
      <c r="B426" s="203" t="s">
        <v>353</v>
      </c>
      <c r="C426" s="195" t="s">
        <v>158</v>
      </c>
      <c r="D426" s="195" t="s">
        <v>96</v>
      </c>
      <c r="E426" s="195" t="s">
        <v>355</v>
      </c>
      <c r="F426" s="198"/>
      <c r="G426" s="32">
        <f>G427</f>
        <v>28.69</v>
      </c>
      <c r="H426" s="32">
        <f t="shared" ref="H426:I427" si="194">H427</f>
        <v>28.69</v>
      </c>
      <c r="I426" s="32">
        <f t="shared" si="194"/>
        <v>28.69</v>
      </c>
      <c r="J426" s="224"/>
      <c r="K426" s="224"/>
      <c r="L426" s="224"/>
      <c r="M426" s="226"/>
      <c r="N426" s="226"/>
      <c r="O426" s="226"/>
      <c r="P426" s="225">
        <f t="shared" si="179"/>
        <v>100</v>
      </c>
    </row>
    <row r="427" spans="1:16" ht="45" x14ac:dyDescent="0.25">
      <c r="A427" s="198">
        <v>415</v>
      </c>
      <c r="B427" s="208" t="s">
        <v>16</v>
      </c>
      <c r="C427" s="195" t="s">
        <v>158</v>
      </c>
      <c r="D427" s="195" t="s">
        <v>96</v>
      </c>
      <c r="E427" s="195" t="s">
        <v>355</v>
      </c>
      <c r="F427" s="198">
        <v>100</v>
      </c>
      <c r="G427" s="32">
        <f>G428</f>
        <v>28.69</v>
      </c>
      <c r="H427" s="32">
        <f t="shared" si="194"/>
        <v>28.69</v>
      </c>
      <c r="I427" s="32">
        <f t="shared" si="194"/>
        <v>28.69</v>
      </c>
      <c r="J427" s="224"/>
      <c r="K427" s="224"/>
      <c r="L427" s="224"/>
      <c r="M427" s="226"/>
      <c r="N427" s="226"/>
      <c r="O427" s="226"/>
      <c r="P427" s="225">
        <f t="shared" si="179"/>
        <v>100</v>
      </c>
    </row>
    <row r="428" spans="1:16" x14ac:dyDescent="0.25">
      <c r="A428" s="198">
        <v>416</v>
      </c>
      <c r="B428" s="208" t="s">
        <v>65</v>
      </c>
      <c r="C428" s="195" t="s">
        <v>158</v>
      </c>
      <c r="D428" s="195" t="s">
        <v>96</v>
      </c>
      <c r="E428" s="195" t="s">
        <v>355</v>
      </c>
      <c r="F428" s="198">
        <v>110</v>
      </c>
      <c r="G428" s="32">
        <f>21.51+7.18</f>
        <v>28.69</v>
      </c>
      <c r="H428" s="32">
        <v>28.69</v>
      </c>
      <c r="I428" s="32">
        <v>28.69</v>
      </c>
      <c r="J428" s="224"/>
      <c r="K428" s="224"/>
      <c r="L428" s="224"/>
      <c r="M428" s="226"/>
      <c r="N428" s="226"/>
      <c r="O428" s="226"/>
      <c r="P428" s="225">
        <f t="shared" si="179"/>
        <v>100</v>
      </c>
    </row>
    <row r="429" spans="1:16" ht="45" x14ac:dyDescent="0.25">
      <c r="A429" s="198">
        <v>417</v>
      </c>
      <c r="B429" s="201" t="s">
        <v>348</v>
      </c>
      <c r="C429" s="195" t="s">
        <v>158</v>
      </c>
      <c r="D429" s="195" t="s">
        <v>96</v>
      </c>
      <c r="E429" s="195" t="s">
        <v>197</v>
      </c>
      <c r="F429" s="198"/>
      <c r="G429" s="32">
        <f>G430+G432</f>
        <v>267.71999999999997</v>
      </c>
      <c r="H429" s="32">
        <f>H430+H432</f>
        <v>267.71999999999997</v>
      </c>
      <c r="I429" s="32">
        <f>I430+I432</f>
        <v>265.08</v>
      </c>
      <c r="J429" s="224"/>
      <c r="K429" s="224"/>
      <c r="L429" s="224"/>
      <c r="M429" s="226"/>
      <c r="N429" s="226"/>
      <c r="O429" s="226"/>
      <c r="P429" s="225">
        <f t="shared" si="179"/>
        <v>99.013895114298521</v>
      </c>
    </row>
    <row r="430" spans="1:16" ht="45" x14ac:dyDescent="0.25">
      <c r="A430" s="198">
        <v>418</v>
      </c>
      <c r="B430" s="208" t="s">
        <v>16</v>
      </c>
      <c r="C430" s="195" t="s">
        <v>158</v>
      </c>
      <c r="D430" s="195" t="s">
        <v>96</v>
      </c>
      <c r="E430" s="195" t="s">
        <v>197</v>
      </c>
      <c r="F430" s="198">
        <v>100</v>
      </c>
      <c r="G430" s="32">
        <f>G431</f>
        <v>222.82</v>
      </c>
      <c r="H430" s="32">
        <f t="shared" ref="H430:I430" si="195">H431</f>
        <v>222.82</v>
      </c>
      <c r="I430" s="32">
        <f t="shared" si="195"/>
        <v>220.2</v>
      </c>
      <c r="J430" s="224"/>
      <c r="K430" s="224"/>
      <c r="L430" s="224"/>
      <c r="M430" s="226"/>
      <c r="N430" s="226"/>
      <c r="O430" s="226"/>
      <c r="P430" s="225">
        <f t="shared" si="179"/>
        <v>98.824163001525889</v>
      </c>
    </row>
    <row r="431" spans="1:16" x14ac:dyDescent="0.25">
      <c r="A431" s="198">
        <v>419</v>
      </c>
      <c r="B431" s="208" t="s">
        <v>65</v>
      </c>
      <c r="C431" s="195" t="s">
        <v>158</v>
      </c>
      <c r="D431" s="195" t="s">
        <v>96</v>
      </c>
      <c r="E431" s="195" t="s">
        <v>197</v>
      </c>
      <c r="F431" s="198">
        <v>110</v>
      </c>
      <c r="G431" s="32">
        <f>208.9+12.2+1.72</f>
        <v>222.82</v>
      </c>
      <c r="H431" s="32">
        <v>222.82</v>
      </c>
      <c r="I431" s="32">
        <v>220.2</v>
      </c>
      <c r="J431" s="224">
        <v>12.2</v>
      </c>
      <c r="K431" s="224">
        <v>20.9</v>
      </c>
      <c r="L431" s="224">
        <v>20.9</v>
      </c>
      <c r="M431" s="226"/>
      <c r="N431" s="226"/>
      <c r="O431" s="226"/>
      <c r="P431" s="225">
        <f t="shared" si="179"/>
        <v>98.824163001525889</v>
      </c>
    </row>
    <row r="432" spans="1:16" x14ac:dyDescent="0.25">
      <c r="A432" s="198">
        <v>420</v>
      </c>
      <c r="B432" s="208" t="s">
        <v>21</v>
      </c>
      <c r="C432" s="195" t="s">
        <v>158</v>
      </c>
      <c r="D432" s="195" t="s">
        <v>96</v>
      </c>
      <c r="E432" s="195" t="s">
        <v>197</v>
      </c>
      <c r="F432" s="198">
        <v>200</v>
      </c>
      <c r="G432" s="32">
        <f>G433</f>
        <v>44.9</v>
      </c>
      <c r="H432" s="32">
        <f t="shared" ref="H432:I432" si="196">H433</f>
        <v>44.9</v>
      </c>
      <c r="I432" s="32">
        <f t="shared" si="196"/>
        <v>44.88</v>
      </c>
      <c r="J432" s="224"/>
      <c r="K432" s="224"/>
      <c r="L432" s="224"/>
      <c r="M432" s="226"/>
      <c r="N432" s="226"/>
      <c r="O432" s="226"/>
      <c r="P432" s="225">
        <f t="shared" si="179"/>
        <v>99.955456570155903</v>
      </c>
    </row>
    <row r="433" spans="1:16" x14ac:dyDescent="0.25">
      <c r="A433" s="198">
        <v>421</v>
      </c>
      <c r="B433" s="208" t="s">
        <v>22</v>
      </c>
      <c r="C433" s="195" t="s">
        <v>158</v>
      </c>
      <c r="D433" s="195" t="s">
        <v>96</v>
      </c>
      <c r="E433" s="195" t="s">
        <v>197</v>
      </c>
      <c r="F433" s="198">
        <v>240</v>
      </c>
      <c r="G433" s="32">
        <v>44.9</v>
      </c>
      <c r="H433" s="32">
        <v>44.9</v>
      </c>
      <c r="I433" s="32">
        <v>44.88</v>
      </c>
      <c r="J433" s="224"/>
      <c r="K433" s="224"/>
      <c r="L433" s="224"/>
      <c r="M433" s="226"/>
      <c r="N433" s="226"/>
      <c r="O433" s="226"/>
      <c r="P433" s="225">
        <f t="shared" si="179"/>
        <v>99.955456570155903</v>
      </c>
    </row>
    <row r="434" spans="1:16" ht="36.75" customHeight="1" x14ac:dyDescent="0.25">
      <c r="A434" s="198">
        <v>422</v>
      </c>
      <c r="B434" s="239" t="s">
        <v>240</v>
      </c>
      <c r="C434" s="195" t="s">
        <v>158</v>
      </c>
      <c r="D434" s="48"/>
      <c r="E434" s="48"/>
      <c r="F434" s="48"/>
      <c r="G434" s="51">
        <f>G435</f>
        <v>56679.51</v>
      </c>
      <c r="H434" s="51">
        <f t="shared" ref="H434:I437" si="197">H435</f>
        <v>56679.509999999995</v>
      </c>
      <c r="I434" s="51">
        <f t="shared" si="197"/>
        <v>56529.392</v>
      </c>
      <c r="J434" s="224"/>
      <c r="K434" s="224"/>
      <c r="L434" s="224"/>
      <c r="M434" s="226"/>
      <c r="N434" s="226"/>
      <c r="O434" s="226"/>
      <c r="P434" s="225">
        <f t="shared" si="179"/>
        <v>99.735145910753303</v>
      </c>
    </row>
    <row r="435" spans="1:16" x14ac:dyDescent="0.25">
      <c r="A435" s="198">
        <v>423</v>
      </c>
      <c r="B435" s="62" t="s">
        <v>87</v>
      </c>
      <c r="C435" s="195" t="s">
        <v>158</v>
      </c>
      <c r="D435" s="195" t="s">
        <v>88</v>
      </c>
      <c r="E435" s="198"/>
      <c r="F435" s="198"/>
      <c r="G435" s="32">
        <f>G436</f>
        <v>56679.51</v>
      </c>
      <c r="H435" s="32">
        <f t="shared" si="197"/>
        <v>56679.509999999995</v>
      </c>
      <c r="I435" s="32">
        <f t="shared" si="197"/>
        <v>56529.392</v>
      </c>
      <c r="J435" s="224"/>
      <c r="K435" s="224"/>
      <c r="L435" s="224"/>
      <c r="M435" s="226"/>
      <c r="N435" s="226"/>
      <c r="O435" s="226"/>
      <c r="P435" s="225">
        <f t="shared" si="179"/>
        <v>99.735145910753303</v>
      </c>
    </row>
    <row r="436" spans="1:16" x14ac:dyDescent="0.25">
      <c r="A436" s="198">
        <v>424</v>
      </c>
      <c r="B436" s="199" t="s">
        <v>36</v>
      </c>
      <c r="C436" s="195" t="s">
        <v>158</v>
      </c>
      <c r="D436" s="195" t="s">
        <v>96</v>
      </c>
      <c r="E436" s="198"/>
      <c r="F436" s="198"/>
      <c r="G436" s="32">
        <f>G437</f>
        <v>56679.51</v>
      </c>
      <c r="H436" s="32">
        <f t="shared" si="197"/>
        <v>56679.509999999995</v>
      </c>
      <c r="I436" s="32">
        <f t="shared" si="197"/>
        <v>56529.392</v>
      </c>
      <c r="J436" s="224"/>
      <c r="K436" s="224"/>
      <c r="L436" s="224"/>
      <c r="M436" s="226"/>
      <c r="N436" s="226"/>
      <c r="O436" s="226"/>
      <c r="P436" s="225">
        <f t="shared" si="179"/>
        <v>99.735145910753303</v>
      </c>
    </row>
    <row r="437" spans="1:16" x14ac:dyDescent="0.25">
      <c r="A437" s="198">
        <v>425</v>
      </c>
      <c r="B437" s="199" t="s">
        <v>286</v>
      </c>
      <c r="C437" s="195" t="s">
        <v>158</v>
      </c>
      <c r="D437" s="195" t="s">
        <v>96</v>
      </c>
      <c r="E437" s="195" t="s">
        <v>283</v>
      </c>
      <c r="F437" s="198"/>
      <c r="G437" s="32">
        <f>G438</f>
        <v>56679.51</v>
      </c>
      <c r="H437" s="32">
        <f t="shared" si="197"/>
        <v>56679.509999999995</v>
      </c>
      <c r="I437" s="32">
        <f t="shared" si="197"/>
        <v>56529.392</v>
      </c>
      <c r="J437" s="224"/>
      <c r="K437" s="224"/>
      <c r="L437" s="224"/>
      <c r="M437" s="226"/>
      <c r="N437" s="226"/>
      <c r="O437" s="226"/>
      <c r="P437" s="225">
        <f t="shared" si="179"/>
        <v>99.735145910753303</v>
      </c>
    </row>
    <row r="438" spans="1:16" x14ac:dyDescent="0.25">
      <c r="A438" s="198">
        <v>426</v>
      </c>
      <c r="B438" s="199" t="s">
        <v>285</v>
      </c>
      <c r="C438" s="195" t="s">
        <v>158</v>
      </c>
      <c r="D438" s="195" t="s">
        <v>96</v>
      </c>
      <c r="E438" s="195" t="s">
        <v>284</v>
      </c>
      <c r="F438" s="198"/>
      <c r="G438" s="32">
        <f>G439+G457+G454+G451+G448</f>
        <v>56679.51</v>
      </c>
      <c r="H438" s="32">
        <f t="shared" ref="H438:I438" si="198">H439+H457+H454+H451+H448</f>
        <v>56679.509999999995</v>
      </c>
      <c r="I438" s="32">
        <f t="shared" si="198"/>
        <v>56529.392</v>
      </c>
      <c r="J438" s="224"/>
      <c r="K438" s="224"/>
      <c r="L438" s="224"/>
      <c r="M438" s="226"/>
      <c r="N438" s="226"/>
      <c r="O438" s="226"/>
      <c r="P438" s="225">
        <f t="shared" si="179"/>
        <v>99.735145910753303</v>
      </c>
    </row>
    <row r="439" spans="1:16" x14ac:dyDescent="0.25">
      <c r="A439" s="198">
        <v>427</v>
      </c>
      <c r="B439" s="199" t="s">
        <v>315</v>
      </c>
      <c r="C439" s="195" t="s">
        <v>158</v>
      </c>
      <c r="D439" s="195" t="s">
        <v>96</v>
      </c>
      <c r="E439" s="195" t="s">
        <v>287</v>
      </c>
      <c r="F439" s="198"/>
      <c r="G439" s="32">
        <f>G440+G442+G446+G444</f>
        <v>51466.66</v>
      </c>
      <c r="H439" s="32">
        <f t="shared" ref="H439:I439" si="199">H440+H442+H446+H444</f>
        <v>51466.659999999996</v>
      </c>
      <c r="I439" s="32">
        <f t="shared" si="199"/>
        <v>51316.55</v>
      </c>
      <c r="J439" s="224"/>
      <c r="K439" s="224"/>
      <c r="L439" s="224"/>
      <c r="M439" s="226"/>
      <c r="N439" s="226"/>
      <c r="O439" s="226"/>
      <c r="P439" s="225">
        <f t="shared" si="179"/>
        <v>99.708335454447607</v>
      </c>
    </row>
    <row r="440" spans="1:16" ht="45" x14ac:dyDescent="0.25">
      <c r="A440" s="198">
        <v>428</v>
      </c>
      <c r="B440" s="208" t="s">
        <v>16</v>
      </c>
      <c r="C440" s="195" t="s">
        <v>158</v>
      </c>
      <c r="D440" s="195" t="s">
        <v>96</v>
      </c>
      <c r="E440" s="195" t="s">
        <v>287</v>
      </c>
      <c r="F440" s="198">
        <v>100</v>
      </c>
      <c r="G440" s="32">
        <f>G441</f>
        <v>49140.130000000005</v>
      </c>
      <c r="H440" s="32">
        <f t="shared" ref="H440:I440" si="200">H441</f>
        <v>49140.13</v>
      </c>
      <c r="I440" s="32">
        <f t="shared" si="200"/>
        <v>49041.19</v>
      </c>
      <c r="J440" s="224"/>
      <c r="K440" s="224"/>
      <c r="L440" s="224"/>
      <c r="M440" s="226"/>
      <c r="N440" s="226"/>
      <c r="O440" s="226"/>
      <c r="P440" s="225">
        <f t="shared" si="179"/>
        <v>99.798657431309209</v>
      </c>
    </row>
    <row r="441" spans="1:16" x14ac:dyDescent="0.25">
      <c r="A441" s="198">
        <v>429</v>
      </c>
      <c r="B441" s="208" t="s">
        <v>65</v>
      </c>
      <c r="C441" s="195" t="s">
        <v>158</v>
      </c>
      <c r="D441" s="195" t="s">
        <v>96</v>
      </c>
      <c r="E441" s="195" t="s">
        <v>287</v>
      </c>
      <c r="F441" s="198">
        <v>110</v>
      </c>
      <c r="G441" s="32">
        <f>50642.16-937.44+414.87-163.2-190-285-7.96-333.3</f>
        <v>49140.130000000005</v>
      </c>
      <c r="H441" s="32">
        <v>49140.13</v>
      </c>
      <c r="I441" s="32">
        <v>49041.19</v>
      </c>
      <c r="J441" s="224">
        <v>414.87</v>
      </c>
      <c r="K441" s="224">
        <v>-163.19999999999999</v>
      </c>
      <c r="L441" s="224">
        <v>-190</v>
      </c>
      <c r="M441" s="224">
        <v>-285</v>
      </c>
      <c r="N441" s="226"/>
      <c r="O441" s="226"/>
      <c r="P441" s="225">
        <f t="shared" si="179"/>
        <v>99.798657431309209</v>
      </c>
    </row>
    <row r="442" spans="1:16" x14ac:dyDescent="0.25">
      <c r="A442" s="198">
        <v>430</v>
      </c>
      <c r="B442" s="208" t="s">
        <v>21</v>
      </c>
      <c r="C442" s="195" t="s">
        <v>158</v>
      </c>
      <c r="D442" s="195" t="s">
        <v>96</v>
      </c>
      <c r="E442" s="195" t="s">
        <v>287</v>
      </c>
      <c r="F442" s="198">
        <v>200</v>
      </c>
      <c r="G442" s="32">
        <f>G443</f>
        <v>2305.5700000000002</v>
      </c>
      <c r="H442" s="32">
        <f t="shared" ref="H442:I442" si="201">H443</f>
        <v>2305.5700000000002</v>
      </c>
      <c r="I442" s="32">
        <f t="shared" si="201"/>
        <v>2262.21</v>
      </c>
      <c r="J442" s="224"/>
      <c r="K442" s="224"/>
      <c r="L442" s="224"/>
      <c r="M442" s="226"/>
      <c r="N442" s="226"/>
      <c r="O442" s="226"/>
      <c r="P442" s="225">
        <f t="shared" si="179"/>
        <v>98.119337083671283</v>
      </c>
    </row>
    <row r="443" spans="1:16" x14ac:dyDescent="0.25">
      <c r="A443" s="198">
        <v>431</v>
      </c>
      <c r="B443" s="208" t="s">
        <v>22</v>
      </c>
      <c r="C443" s="195" t="s">
        <v>158</v>
      </c>
      <c r="D443" s="195" t="s">
        <v>96</v>
      </c>
      <c r="E443" s="195" t="s">
        <v>287</v>
      </c>
      <c r="F443" s="198">
        <v>240</v>
      </c>
      <c r="G443" s="32">
        <f>3074.59-3-34.29-424.87-6.86-300</f>
        <v>2305.5700000000002</v>
      </c>
      <c r="H443" s="32">
        <v>2305.5700000000002</v>
      </c>
      <c r="I443" s="32">
        <v>2262.21</v>
      </c>
      <c r="J443" s="224">
        <v>-424.87</v>
      </c>
      <c r="K443" s="224">
        <v>-6.86</v>
      </c>
      <c r="L443" s="224">
        <v>-300</v>
      </c>
      <c r="M443" s="226"/>
      <c r="N443" s="226"/>
      <c r="O443" s="226"/>
      <c r="P443" s="225">
        <f t="shared" si="179"/>
        <v>98.119337083671283</v>
      </c>
    </row>
    <row r="444" spans="1:16" x14ac:dyDescent="0.25">
      <c r="A444" s="198">
        <v>432</v>
      </c>
      <c r="B444" s="208" t="s">
        <v>79</v>
      </c>
      <c r="C444" s="195" t="s">
        <v>158</v>
      </c>
      <c r="D444" s="195" t="s">
        <v>96</v>
      </c>
      <c r="E444" s="195" t="s">
        <v>287</v>
      </c>
      <c r="F444" s="198">
        <v>300</v>
      </c>
      <c r="G444" s="32">
        <f>G445</f>
        <v>7.96</v>
      </c>
      <c r="H444" s="32">
        <f t="shared" ref="H444:I444" si="202">H445</f>
        <v>7.96</v>
      </c>
      <c r="I444" s="32">
        <f t="shared" si="202"/>
        <v>7.96</v>
      </c>
      <c r="J444" s="224"/>
      <c r="K444" s="224"/>
      <c r="L444" s="224"/>
      <c r="M444" s="226"/>
      <c r="N444" s="226"/>
      <c r="O444" s="226"/>
      <c r="P444" s="225">
        <f t="shared" si="179"/>
        <v>100</v>
      </c>
    </row>
    <row r="445" spans="1:16" x14ac:dyDescent="0.25">
      <c r="A445" s="198">
        <v>433</v>
      </c>
      <c r="B445" s="208" t="s">
        <v>83</v>
      </c>
      <c r="C445" s="195" t="s">
        <v>158</v>
      </c>
      <c r="D445" s="195" t="s">
        <v>96</v>
      </c>
      <c r="E445" s="195" t="s">
        <v>287</v>
      </c>
      <c r="F445" s="198">
        <v>320</v>
      </c>
      <c r="G445" s="32">
        <v>7.96</v>
      </c>
      <c r="H445" s="32">
        <v>7.96</v>
      </c>
      <c r="I445" s="32">
        <v>7.96</v>
      </c>
      <c r="J445" s="224"/>
      <c r="K445" s="224"/>
      <c r="L445" s="224"/>
      <c r="M445" s="226"/>
      <c r="N445" s="226"/>
      <c r="O445" s="226"/>
      <c r="P445" s="225">
        <f t="shared" si="179"/>
        <v>100</v>
      </c>
    </row>
    <row r="446" spans="1:16" x14ac:dyDescent="0.25">
      <c r="A446" s="198">
        <v>434</v>
      </c>
      <c r="B446" s="208" t="s">
        <v>33</v>
      </c>
      <c r="C446" s="195" t="s">
        <v>158</v>
      </c>
      <c r="D446" s="195" t="s">
        <v>96</v>
      </c>
      <c r="E446" s="195" t="s">
        <v>287</v>
      </c>
      <c r="F446" s="198">
        <v>800</v>
      </c>
      <c r="G446" s="32">
        <f>G447</f>
        <v>13</v>
      </c>
      <c r="H446" s="32">
        <f t="shared" ref="H446:I446" si="203">H447</f>
        <v>13</v>
      </c>
      <c r="I446" s="32">
        <f t="shared" si="203"/>
        <v>5.19</v>
      </c>
      <c r="J446" s="224"/>
      <c r="K446" s="224"/>
      <c r="L446" s="224"/>
      <c r="M446" s="226"/>
      <c r="N446" s="226"/>
      <c r="O446" s="226"/>
      <c r="P446" s="225">
        <f t="shared" si="179"/>
        <v>39.923076923076927</v>
      </c>
    </row>
    <row r="447" spans="1:16" x14ac:dyDescent="0.25">
      <c r="A447" s="198">
        <v>435</v>
      </c>
      <c r="B447" s="208" t="s">
        <v>82</v>
      </c>
      <c r="C447" s="195" t="s">
        <v>158</v>
      </c>
      <c r="D447" s="195" t="s">
        <v>96</v>
      </c>
      <c r="E447" s="195" t="s">
        <v>287</v>
      </c>
      <c r="F447" s="198">
        <v>850</v>
      </c>
      <c r="G447" s="32">
        <f>3+10</f>
        <v>13</v>
      </c>
      <c r="H447" s="32">
        <v>13</v>
      </c>
      <c r="I447" s="32">
        <v>5.19</v>
      </c>
      <c r="J447" s="224">
        <v>10</v>
      </c>
      <c r="K447" s="224"/>
      <c r="L447" s="224"/>
      <c r="M447" s="226"/>
      <c r="N447" s="226"/>
      <c r="O447" s="226"/>
      <c r="P447" s="225">
        <f t="shared" si="179"/>
        <v>39.923076923076927</v>
      </c>
    </row>
    <row r="448" spans="1:16" ht="30" x14ac:dyDescent="0.25">
      <c r="A448" s="198">
        <v>436</v>
      </c>
      <c r="B448" s="208" t="s">
        <v>564</v>
      </c>
      <c r="C448" s="195" t="s">
        <v>158</v>
      </c>
      <c r="D448" s="195" t="s">
        <v>96</v>
      </c>
      <c r="E448" s="195" t="s">
        <v>567</v>
      </c>
      <c r="F448" s="198"/>
      <c r="G448" s="32">
        <f>G449</f>
        <v>248.43</v>
      </c>
      <c r="H448" s="32">
        <f t="shared" ref="H448:I449" si="204">H449</f>
        <v>248.43</v>
      </c>
      <c r="I448" s="32">
        <f t="shared" si="204"/>
        <v>248.43</v>
      </c>
      <c r="J448" s="224"/>
      <c r="K448" s="224"/>
      <c r="L448" s="224"/>
      <c r="M448" s="226"/>
      <c r="N448" s="226"/>
      <c r="O448" s="226"/>
      <c r="P448" s="225">
        <f t="shared" si="179"/>
        <v>100</v>
      </c>
    </row>
    <row r="449" spans="1:16" ht="45" x14ac:dyDescent="0.25">
      <c r="A449" s="198">
        <v>437</v>
      </c>
      <c r="B449" s="208" t="s">
        <v>16</v>
      </c>
      <c r="C449" s="195" t="s">
        <v>158</v>
      </c>
      <c r="D449" s="195" t="s">
        <v>96</v>
      </c>
      <c r="E449" s="195" t="s">
        <v>567</v>
      </c>
      <c r="F449" s="198">
        <v>100</v>
      </c>
      <c r="G449" s="32">
        <f>G450</f>
        <v>248.43</v>
      </c>
      <c r="H449" s="32">
        <f t="shared" si="204"/>
        <v>248.43</v>
      </c>
      <c r="I449" s="32">
        <f t="shared" si="204"/>
        <v>248.43</v>
      </c>
      <c r="J449" s="224"/>
      <c r="K449" s="224"/>
      <c r="L449" s="224"/>
      <c r="M449" s="226"/>
      <c r="N449" s="226"/>
      <c r="O449" s="226"/>
      <c r="P449" s="225">
        <f t="shared" si="179"/>
        <v>100</v>
      </c>
    </row>
    <row r="450" spans="1:16" x14ac:dyDescent="0.25">
      <c r="A450" s="198">
        <v>438</v>
      </c>
      <c r="B450" s="208" t="s">
        <v>65</v>
      </c>
      <c r="C450" s="195" t="s">
        <v>158</v>
      </c>
      <c r="D450" s="195" t="s">
        <v>96</v>
      </c>
      <c r="E450" s="195" t="s">
        <v>567</v>
      </c>
      <c r="F450" s="198">
        <v>110</v>
      </c>
      <c r="G450" s="32">
        <v>248.43</v>
      </c>
      <c r="H450" s="32">
        <v>248.43</v>
      </c>
      <c r="I450" s="32">
        <v>248.43</v>
      </c>
      <c r="J450" s="224"/>
      <c r="K450" s="224"/>
      <c r="L450" s="224"/>
      <c r="M450" s="226"/>
      <c r="N450" s="226"/>
      <c r="O450" s="226"/>
      <c r="P450" s="225">
        <f t="shared" si="179"/>
        <v>100</v>
      </c>
    </row>
    <row r="451" spans="1:16" ht="30" x14ac:dyDescent="0.25">
      <c r="A451" s="198">
        <v>439</v>
      </c>
      <c r="B451" s="208" t="s">
        <v>491</v>
      </c>
      <c r="C451" s="195" t="s">
        <v>158</v>
      </c>
      <c r="D451" s="195" t="s">
        <v>96</v>
      </c>
      <c r="E451" s="195" t="s">
        <v>493</v>
      </c>
      <c r="F451" s="198"/>
      <c r="G451" s="32">
        <f>G452</f>
        <v>1692.39</v>
      </c>
      <c r="H451" s="32">
        <f t="shared" ref="H451:I452" si="205">H452</f>
        <v>1692.39</v>
      </c>
      <c r="I451" s="32">
        <f t="shared" si="205"/>
        <v>1692.39</v>
      </c>
      <c r="J451" s="224"/>
      <c r="K451" s="224"/>
      <c r="L451" s="224"/>
      <c r="M451" s="226"/>
      <c r="N451" s="226"/>
      <c r="O451" s="226"/>
      <c r="P451" s="225">
        <f t="shared" si="179"/>
        <v>100</v>
      </c>
    </row>
    <row r="452" spans="1:16" ht="45" x14ac:dyDescent="0.25">
      <c r="A452" s="198">
        <v>440</v>
      </c>
      <c r="B452" s="208" t="s">
        <v>16</v>
      </c>
      <c r="C452" s="195" t="s">
        <v>158</v>
      </c>
      <c r="D452" s="195" t="s">
        <v>96</v>
      </c>
      <c r="E452" s="195" t="s">
        <v>493</v>
      </c>
      <c r="F452" s="198">
        <v>100</v>
      </c>
      <c r="G452" s="32">
        <f>G453</f>
        <v>1692.39</v>
      </c>
      <c r="H452" s="32">
        <f t="shared" si="205"/>
        <v>1692.39</v>
      </c>
      <c r="I452" s="32">
        <f t="shared" si="205"/>
        <v>1692.39</v>
      </c>
      <c r="J452" s="224"/>
      <c r="K452" s="224"/>
      <c r="L452" s="224"/>
      <c r="M452" s="226"/>
      <c r="N452" s="226"/>
      <c r="O452" s="226"/>
      <c r="P452" s="225">
        <f t="shared" si="179"/>
        <v>100</v>
      </c>
    </row>
    <row r="453" spans="1:16" x14ac:dyDescent="0.25">
      <c r="A453" s="198">
        <v>441</v>
      </c>
      <c r="B453" s="208" t="s">
        <v>65</v>
      </c>
      <c r="C453" s="195" t="s">
        <v>158</v>
      </c>
      <c r="D453" s="195" t="s">
        <v>96</v>
      </c>
      <c r="E453" s="195" t="s">
        <v>493</v>
      </c>
      <c r="F453" s="198">
        <v>110</v>
      </c>
      <c r="G453" s="32">
        <v>1692.39</v>
      </c>
      <c r="H453" s="32">
        <v>1692.39</v>
      </c>
      <c r="I453" s="32">
        <v>1692.39</v>
      </c>
      <c r="J453" s="224">
        <v>1692.39</v>
      </c>
      <c r="K453" s="224"/>
      <c r="L453" s="224"/>
      <c r="M453" s="226"/>
      <c r="N453" s="226"/>
      <c r="O453" s="226"/>
      <c r="P453" s="225">
        <f t="shared" si="179"/>
        <v>100</v>
      </c>
    </row>
    <row r="454" spans="1:16" ht="45" x14ac:dyDescent="0.25">
      <c r="A454" s="198">
        <v>442</v>
      </c>
      <c r="B454" s="203" t="s">
        <v>353</v>
      </c>
      <c r="C454" s="195" t="s">
        <v>158</v>
      </c>
      <c r="D454" s="195" t="s">
        <v>96</v>
      </c>
      <c r="E454" s="195" t="s">
        <v>354</v>
      </c>
      <c r="F454" s="198"/>
      <c r="G454" s="32">
        <f>G455</f>
        <v>1960.19</v>
      </c>
      <c r="H454" s="32">
        <f t="shared" ref="H454:I455" si="206">H455</f>
        <v>1960.19</v>
      </c>
      <c r="I454" s="32">
        <f t="shared" si="206"/>
        <v>1960.1869999999999</v>
      </c>
      <c r="J454" s="224"/>
      <c r="K454" s="224"/>
      <c r="L454" s="224"/>
      <c r="M454" s="226"/>
      <c r="N454" s="226"/>
      <c r="O454" s="226"/>
      <c r="P454" s="225">
        <f t="shared" si="179"/>
        <v>99.999846953611623</v>
      </c>
    </row>
    <row r="455" spans="1:16" ht="45" x14ac:dyDescent="0.25">
      <c r="A455" s="198">
        <v>443</v>
      </c>
      <c r="B455" s="208" t="s">
        <v>16</v>
      </c>
      <c r="C455" s="195" t="s">
        <v>158</v>
      </c>
      <c r="D455" s="195" t="s">
        <v>96</v>
      </c>
      <c r="E455" s="195" t="s">
        <v>354</v>
      </c>
      <c r="F455" s="198">
        <v>100</v>
      </c>
      <c r="G455" s="32">
        <f>G456</f>
        <v>1960.19</v>
      </c>
      <c r="H455" s="32">
        <f t="shared" si="206"/>
        <v>1960.19</v>
      </c>
      <c r="I455" s="32">
        <f t="shared" si="206"/>
        <v>1960.1869999999999</v>
      </c>
      <c r="J455" s="224"/>
      <c r="K455" s="224"/>
      <c r="L455" s="224"/>
      <c r="M455" s="226"/>
      <c r="N455" s="226"/>
      <c r="O455" s="226"/>
      <c r="P455" s="225">
        <f t="shared" si="179"/>
        <v>99.999846953611623</v>
      </c>
    </row>
    <row r="456" spans="1:16" x14ac:dyDescent="0.25">
      <c r="A456" s="198">
        <v>444</v>
      </c>
      <c r="B456" s="208" t="s">
        <v>65</v>
      </c>
      <c r="C456" s="195" t="s">
        <v>158</v>
      </c>
      <c r="D456" s="195" t="s">
        <v>96</v>
      </c>
      <c r="E456" s="195" t="s">
        <v>354</v>
      </c>
      <c r="F456" s="198">
        <v>110</v>
      </c>
      <c r="G456" s="32">
        <f>1470.14+490.05</f>
        <v>1960.19</v>
      </c>
      <c r="H456" s="32">
        <v>1960.19</v>
      </c>
      <c r="I456" s="32">
        <v>1960.1869999999999</v>
      </c>
      <c r="J456" s="224"/>
      <c r="K456" s="224"/>
      <c r="L456" s="224"/>
      <c r="M456" s="226"/>
      <c r="N456" s="226"/>
      <c r="O456" s="226"/>
      <c r="P456" s="225">
        <f t="shared" si="179"/>
        <v>99.999846953611623</v>
      </c>
    </row>
    <row r="457" spans="1:16" ht="30" x14ac:dyDescent="0.25">
      <c r="A457" s="198">
        <v>445</v>
      </c>
      <c r="B457" s="203" t="s">
        <v>346</v>
      </c>
      <c r="C457" s="195" t="s">
        <v>158</v>
      </c>
      <c r="D457" s="195" t="s">
        <v>96</v>
      </c>
      <c r="E457" s="195" t="s">
        <v>347</v>
      </c>
      <c r="F457" s="198"/>
      <c r="G457" s="32">
        <f>G458+G460</f>
        <v>1311.84</v>
      </c>
      <c r="H457" s="32">
        <f t="shared" ref="H457:I457" si="207">H458+H460</f>
        <v>1311.84</v>
      </c>
      <c r="I457" s="32">
        <f t="shared" si="207"/>
        <v>1311.835</v>
      </c>
      <c r="J457" s="224"/>
      <c r="K457" s="224"/>
      <c r="L457" s="224"/>
      <c r="M457" s="226"/>
      <c r="N457" s="226"/>
      <c r="O457" s="226"/>
      <c r="P457" s="225">
        <f t="shared" si="179"/>
        <v>99.999618855958047</v>
      </c>
    </row>
    <row r="458" spans="1:16" ht="45" x14ac:dyDescent="0.25">
      <c r="A458" s="198">
        <v>446</v>
      </c>
      <c r="B458" s="208" t="s">
        <v>16</v>
      </c>
      <c r="C458" s="195" t="s">
        <v>158</v>
      </c>
      <c r="D458" s="195" t="s">
        <v>96</v>
      </c>
      <c r="E458" s="195" t="s">
        <v>347</v>
      </c>
      <c r="F458" s="198">
        <v>100</v>
      </c>
      <c r="G458" s="32">
        <f>G459</f>
        <v>1263.83</v>
      </c>
      <c r="H458" s="32">
        <f t="shared" ref="H458:I458" si="208">H459</f>
        <v>1263.83</v>
      </c>
      <c r="I458" s="32">
        <f t="shared" si="208"/>
        <v>1263.829</v>
      </c>
      <c r="J458" s="224"/>
      <c r="K458" s="224"/>
      <c r="L458" s="224"/>
      <c r="M458" s="226"/>
      <c r="N458" s="226"/>
      <c r="O458" s="226"/>
      <c r="P458" s="225">
        <f t="shared" si="179"/>
        <v>99.999920875434199</v>
      </c>
    </row>
    <row r="459" spans="1:16" x14ac:dyDescent="0.25">
      <c r="A459" s="198">
        <v>447</v>
      </c>
      <c r="B459" s="208" t="s">
        <v>65</v>
      </c>
      <c r="C459" s="195" t="s">
        <v>158</v>
      </c>
      <c r="D459" s="195" t="s">
        <v>96</v>
      </c>
      <c r="E459" s="195" t="s">
        <v>347</v>
      </c>
      <c r="F459" s="198">
        <v>110</v>
      </c>
      <c r="G459" s="32">
        <f>937.44+326.39</f>
        <v>1263.83</v>
      </c>
      <c r="H459" s="32">
        <f>937.44+326.39</f>
        <v>1263.83</v>
      </c>
      <c r="I459" s="32">
        <v>1263.829</v>
      </c>
      <c r="J459" s="224">
        <v>326.39</v>
      </c>
      <c r="K459" s="224">
        <v>326.39</v>
      </c>
      <c r="L459" s="224">
        <v>326.39</v>
      </c>
      <c r="M459" s="226"/>
      <c r="N459" s="226"/>
      <c r="O459" s="226"/>
      <c r="P459" s="225">
        <f t="shared" si="179"/>
        <v>99.999920875434199</v>
      </c>
    </row>
    <row r="460" spans="1:16" x14ac:dyDescent="0.25">
      <c r="A460" s="198">
        <v>448</v>
      </c>
      <c r="B460" s="208" t="s">
        <v>21</v>
      </c>
      <c r="C460" s="195" t="s">
        <v>158</v>
      </c>
      <c r="D460" s="195" t="s">
        <v>96</v>
      </c>
      <c r="E460" s="195" t="s">
        <v>347</v>
      </c>
      <c r="F460" s="198">
        <v>200</v>
      </c>
      <c r="G460" s="32">
        <f>G461</f>
        <v>48.01</v>
      </c>
      <c r="H460" s="32">
        <f t="shared" ref="H460:I460" si="209">H461</f>
        <v>48.01</v>
      </c>
      <c r="I460" s="32">
        <f t="shared" si="209"/>
        <v>48.006</v>
      </c>
      <c r="J460" s="224"/>
      <c r="K460" s="224"/>
      <c r="L460" s="224"/>
      <c r="M460" s="226"/>
      <c r="N460" s="226"/>
      <c r="O460" s="226"/>
      <c r="P460" s="225">
        <f t="shared" si="179"/>
        <v>99.991668402416167</v>
      </c>
    </row>
    <row r="461" spans="1:16" x14ac:dyDescent="0.25">
      <c r="A461" s="198">
        <v>449</v>
      </c>
      <c r="B461" s="208" t="s">
        <v>22</v>
      </c>
      <c r="C461" s="195" t="s">
        <v>158</v>
      </c>
      <c r="D461" s="195" t="s">
        <v>96</v>
      </c>
      <c r="E461" s="195" t="s">
        <v>347</v>
      </c>
      <c r="F461" s="198">
        <v>240</v>
      </c>
      <c r="G461" s="32">
        <f>34.29+13.72</f>
        <v>48.01</v>
      </c>
      <c r="H461" s="32">
        <f>34.29+13.72</f>
        <v>48.01</v>
      </c>
      <c r="I461" s="32">
        <v>48.006</v>
      </c>
      <c r="J461" s="224">
        <v>13.72</v>
      </c>
      <c r="K461" s="224">
        <v>13.72</v>
      </c>
      <c r="L461" s="224">
        <v>13.72</v>
      </c>
      <c r="M461" s="226"/>
      <c r="N461" s="226"/>
      <c r="O461" s="226"/>
      <c r="P461" s="225">
        <f t="shared" si="179"/>
        <v>99.991668402416167</v>
      </c>
    </row>
    <row r="462" spans="1:16" ht="36" customHeight="1" x14ac:dyDescent="0.25">
      <c r="A462" s="198">
        <v>450</v>
      </c>
      <c r="B462" s="239" t="s">
        <v>345</v>
      </c>
      <c r="C462" s="195" t="s">
        <v>158</v>
      </c>
      <c r="D462" s="198"/>
      <c r="E462" s="198"/>
      <c r="F462" s="198"/>
      <c r="G462" s="32">
        <f t="shared" ref="G462:I468" si="210">G463</f>
        <v>107.63</v>
      </c>
      <c r="H462" s="32">
        <f t="shared" si="210"/>
        <v>107.63</v>
      </c>
      <c r="I462" s="32">
        <f t="shared" si="210"/>
        <v>107.63199999999999</v>
      </c>
      <c r="J462" s="224"/>
      <c r="K462" s="224"/>
      <c r="L462" s="224"/>
      <c r="M462" s="226"/>
      <c r="N462" s="226"/>
      <c r="O462" s="226"/>
      <c r="P462" s="225">
        <f t="shared" ref="P462:P525" si="211">I462/H462*100</f>
        <v>100.00185821796896</v>
      </c>
    </row>
    <row r="463" spans="1:16" x14ac:dyDescent="0.25">
      <c r="A463" s="198">
        <v>451</v>
      </c>
      <c r="B463" s="62" t="s">
        <v>87</v>
      </c>
      <c r="C463" s="195" t="s">
        <v>158</v>
      </c>
      <c r="D463" s="195" t="s">
        <v>88</v>
      </c>
      <c r="E463" s="198"/>
      <c r="F463" s="198"/>
      <c r="G463" s="32">
        <f t="shared" si="210"/>
        <v>107.63</v>
      </c>
      <c r="H463" s="32">
        <f t="shared" si="210"/>
        <v>107.63</v>
      </c>
      <c r="I463" s="32">
        <f t="shared" si="210"/>
        <v>107.63199999999999</v>
      </c>
      <c r="J463" s="224"/>
      <c r="K463" s="224"/>
      <c r="L463" s="224"/>
      <c r="M463" s="226"/>
      <c r="N463" s="226"/>
      <c r="O463" s="226"/>
      <c r="P463" s="225">
        <f t="shared" si="211"/>
        <v>100.00185821796896</v>
      </c>
    </row>
    <row r="464" spans="1:16" x14ac:dyDescent="0.25">
      <c r="A464" s="198">
        <v>452</v>
      </c>
      <c r="B464" s="199" t="s">
        <v>36</v>
      </c>
      <c r="C464" s="195" t="s">
        <v>158</v>
      </c>
      <c r="D464" s="195" t="s">
        <v>96</v>
      </c>
      <c r="E464" s="198"/>
      <c r="F464" s="198"/>
      <c r="G464" s="32">
        <f t="shared" si="210"/>
        <v>107.63</v>
      </c>
      <c r="H464" s="32">
        <f t="shared" si="210"/>
        <v>107.63</v>
      </c>
      <c r="I464" s="32">
        <f t="shared" si="210"/>
        <v>107.63199999999999</v>
      </c>
      <c r="J464" s="224"/>
      <c r="K464" s="224"/>
      <c r="L464" s="224"/>
      <c r="M464" s="226"/>
      <c r="N464" s="226"/>
      <c r="O464" s="226"/>
      <c r="P464" s="225">
        <f t="shared" si="211"/>
        <v>100.00185821796896</v>
      </c>
    </row>
    <row r="465" spans="1:16" x14ac:dyDescent="0.25">
      <c r="A465" s="198">
        <v>453</v>
      </c>
      <c r="B465" s="197" t="s">
        <v>286</v>
      </c>
      <c r="C465" s="195" t="s">
        <v>158</v>
      </c>
      <c r="D465" s="195" t="s">
        <v>96</v>
      </c>
      <c r="E465" s="198">
        <v>9100000000</v>
      </c>
      <c r="F465" s="198"/>
      <c r="G465" s="32">
        <f t="shared" si="210"/>
        <v>107.63</v>
      </c>
      <c r="H465" s="32">
        <f t="shared" si="210"/>
        <v>107.63</v>
      </c>
      <c r="I465" s="32">
        <f t="shared" si="210"/>
        <v>107.63199999999999</v>
      </c>
      <c r="J465" s="224"/>
      <c r="K465" s="224"/>
      <c r="L465" s="224"/>
      <c r="M465" s="226"/>
      <c r="N465" s="226"/>
      <c r="O465" s="226"/>
      <c r="P465" s="225">
        <f t="shared" si="211"/>
        <v>100.00185821796896</v>
      </c>
    </row>
    <row r="466" spans="1:16" x14ac:dyDescent="0.25">
      <c r="A466" s="198">
        <v>454</v>
      </c>
      <c r="B466" s="199" t="s">
        <v>288</v>
      </c>
      <c r="C466" s="195" t="s">
        <v>158</v>
      </c>
      <c r="D466" s="195" t="s">
        <v>96</v>
      </c>
      <c r="E466" s="198">
        <v>9120000000</v>
      </c>
      <c r="F466" s="198"/>
      <c r="G466" s="32">
        <f t="shared" si="210"/>
        <v>107.63</v>
      </c>
      <c r="H466" s="32">
        <f t="shared" si="210"/>
        <v>107.63</v>
      </c>
      <c r="I466" s="32">
        <f t="shared" si="210"/>
        <v>107.63199999999999</v>
      </c>
      <c r="J466" s="224"/>
      <c r="K466" s="224"/>
      <c r="L466" s="224"/>
      <c r="M466" s="226"/>
      <c r="N466" s="226"/>
      <c r="O466" s="226"/>
      <c r="P466" s="225">
        <f t="shared" si="211"/>
        <v>100.00185821796896</v>
      </c>
    </row>
    <row r="467" spans="1:16" x14ac:dyDescent="0.25">
      <c r="A467" s="198">
        <v>455</v>
      </c>
      <c r="B467" s="199" t="s">
        <v>315</v>
      </c>
      <c r="C467" s="195" t="s">
        <v>158</v>
      </c>
      <c r="D467" s="195" t="s">
        <v>96</v>
      </c>
      <c r="E467" s="198">
        <v>9120000610</v>
      </c>
      <c r="F467" s="198"/>
      <c r="G467" s="32">
        <f>G468+G470</f>
        <v>107.63</v>
      </c>
      <c r="H467" s="32">
        <f t="shared" ref="H467:I467" si="212">H468+H470</f>
        <v>107.63</v>
      </c>
      <c r="I467" s="32">
        <f t="shared" si="212"/>
        <v>107.63199999999999</v>
      </c>
      <c r="J467" s="224"/>
      <c r="K467" s="224"/>
      <c r="L467" s="224"/>
      <c r="M467" s="226"/>
      <c r="N467" s="226"/>
      <c r="O467" s="226"/>
      <c r="P467" s="225">
        <f t="shared" si="211"/>
        <v>100.00185821796896</v>
      </c>
    </row>
    <row r="468" spans="1:16" ht="45" x14ac:dyDescent="0.25">
      <c r="A468" s="198">
        <v>456</v>
      </c>
      <c r="B468" s="208" t="s">
        <v>16</v>
      </c>
      <c r="C468" s="195" t="s">
        <v>158</v>
      </c>
      <c r="D468" s="195" t="s">
        <v>96</v>
      </c>
      <c r="E468" s="198">
        <v>9120000610</v>
      </c>
      <c r="F468" s="198">
        <v>100</v>
      </c>
      <c r="G468" s="32">
        <f t="shared" si="210"/>
        <v>107.19</v>
      </c>
      <c r="H468" s="32">
        <f t="shared" ref="H468:I468" si="213">H469</f>
        <v>107.19</v>
      </c>
      <c r="I468" s="32">
        <f t="shared" si="213"/>
        <v>107.19199999999999</v>
      </c>
      <c r="J468" s="224"/>
      <c r="K468" s="224"/>
      <c r="L468" s="224"/>
      <c r="M468" s="226"/>
      <c r="N468" s="226"/>
      <c r="O468" s="226"/>
      <c r="P468" s="225">
        <f t="shared" si="211"/>
        <v>100.00186584569455</v>
      </c>
    </row>
    <row r="469" spans="1:16" x14ac:dyDescent="0.25">
      <c r="A469" s="198">
        <v>457</v>
      </c>
      <c r="B469" s="208" t="s">
        <v>65</v>
      </c>
      <c r="C469" s="195" t="s">
        <v>158</v>
      </c>
      <c r="D469" s="195" t="s">
        <v>96</v>
      </c>
      <c r="E469" s="198">
        <v>9120000610</v>
      </c>
      <c r="F469" s="198">
        <v>110</v>
      </c>
      <c r="G469" s="32">
        <f>350-242.81</f>
        <v>107.19</v>
      </c>
      <c r="H469" s="32">
        <v>107.19</v>
      </c>
      <c r="I469" s="32">
        <v>107.19199999999999</v>
      </c>
      <c r="J469" s="224">
        <v>-242.81</v>
      </c>
      <c r="K469" s="224"/>
      <c r="L469" s="224"/>
      <c r="M469" s="226"/>
      <c r="N469" s="226"/>
      <c r="O469" s="226"/>
      <c r="P469" s="225">
        <f t="shared" si="211"/>
        <v>100.00186584569455</v>
      </c>
    </row>
    <row r="470" spans="1:16" x14ac:dyDescent="0.25">
      <c r="A470" s="198">
        <v>458</v>
      </c>
      <c r="B470" s="208" t="s">
        <v>33</v>
      </c>
      <c r="C470" s="195" t="s">
        <v>158</v>
      </c>
      <c r="D470" s="195" t="s">
        <v>96</v>
      </c>
      <c r="E470" s="198">
        <v>9120000610</v>
      </c>
      <c r="F470" s="198">
        <v>800</v>
      </c>
      <c r="G470" s="32">
        <f>G471</f>
        <v>0.44</v>
      </c>
      <c r="H470" s="32">
        <f t="shared" ref="H470:I470" si="214">H471</f>
        <v>0.44</v>
      </c>
      <c r="I470" s="32">
        <f t="shared" si="214"/>
        <v>0.44</v>
      </c>
      <c r="J470" s="224"/>
      <c r="K470" s="224"/>
      <c r="L470" s="224"/>
      <c r="M470" s="226"/>
      <c r="N470" s="226"/>
      <c r="O470" s="226"/>
      <c r="P470" s="225">
        <f t="shared" si="211"/>
        <v>100</v>
      </c>
    </row>
    <row r="471" spans="1:16" x14ac:dyDescent="0.25">
      <c r="A471" s="198">
        <v>459</v>
      </c>
      <c r="B471" s="208" t="s">
        <v>82</v>
      </c>
      <c r="C471" s="195" t="s">
        <v>158</v>
      </c>
      <c r="D471" s="195" t="s">
        <v>96</v>
      </c>
      <c r="E471" s="198">
        <v>9120000610</v>
      </c>
      <c r="F471" s="198">
        <v>850</v>
      </c>
      <c r="G471" s="32">
        <v>0.44</v>
      </c>
      <c r="H471" s="32">
        <v>0.44</v>
      </c>
      <c r="I471" s="32">
        <v>0.44</v>
      </c>
      <c r="J471" s="224">
        <v>0.44</v>
      </c>
      <c r="K471" s="224"/>
      <c r="L471" s="224"/>
      <c r="M471" s="226"/>
      <c r="N471" s="226"/>
      <c r="O471" s="226"/>
      <c r="P471" s="225">
        <f t="shared" si="211"/>
        <v>100</v>
      </c>
    </row>
    <row r="472" spans="1:16" ht="39" customHeight="1" x14ac:dyDescent="0.25">
      <c r="A472" s="198">
        <v>460</v>
      </c>
      <c r="B472" s="239" t="s">
        <v>293</v>
      </c>
      <c r="C472" s="195" t="s">
        <v>158</v>
      </c>
      <c r="D472" s="198"/>
      <c r="E472" s="198"/>
      <c r="F472" s="198"/>
      <c r="G472" s="32">
        <f>G473</f>
        <v>13015.960000000001</v>
      </c>
      <c r="H472" s="32">
        <f t="shared" ref="H472:I472" si="215">H473</f>
        <v>13015.960000000001</v>
      </c>
      <c r="I472" s="32">
        <f t="shared" si="215"/>
        <v>12585.073000000002</v>
      </c>
      <c r="J472" s="224"/>
      <c r="K472" s="224"/>
      <c r="L472" s="224"/>
      <c r="M472" s="226"/>
      <c r="N472" s="226"/>
      <c r="O472" s="226"/>
      <c r="P472" s="225">
        <f t="shared" si="211"/>
        <v>96.689548830820016</v>
      </c>
    </row>
    <row r="473" spans="1:16" x14ac:dyDescent="0.25">
      <c r="A473" s="198">
        <v>461</v>
      </c>
      <c r="B473" s="62" t="s">
        <v>87</v>
      </c>
      <c r="C473" s="195" t="s">
        <v>158</v>
      </c>
      <c r="D473" s="195" t="s">
        <v>88</v>
      </c>
      <c r="E473" s="198"/>
      <c r="F473" s="198"/>
      <c r="G473" s="32">
        <f>G474</f>
        <v>13015.960000000001</v>
      </c>
      <c r="H473" s="32">
        <f t="shared" ref="H473:I475" si="216">H474</f>
        <v>13015.960000000001</v>
      </c>
      <c r="I473" s="32">
        <f t="shared" si="216"/>
        <v>12585.073000000002</v>
      </c>
      <c r="J473" s="224"/>
      <c r="K473" s="224"/>
      <c r="L473" s="224"/>
      <c r="M473" s="226"/>
      <c r="N473" s="226"/>
      <c r="O473" s="226"/>
      <c r="P473" s="225">
        <f t="shared" si="211"/>
        <v>96.689548830820016</v>
      </c>
    </row>
    <row r="474" spans="1:16" x14ac:dyDescent="0.25">
      <c r="A474" s="198">
        <v>462</v>
      </c>
      <c r="B474" s="199" t="s">
        <v>36</v>
      </c>
      <c r="C474" s="195" t="s">
        <v>158</v>
      </c>
      <c r="D474" s="195" t="s">
        <v>96</v>
      </c>
      <c r="E474" s="198"/>
      <c r="F474" s="198"/>
      <c r="G474" s="32">
        <f>G475+G493</f>
        <v>13015.960000000001</v>
      </c>
      <c r="H474" s="32">
        <f t="shared" ref="H474:I474" si="217">H475+H493</f>
        <v>13015.960000000001</v>
      </c>
      <c r="I474" s="32">
        <f t="shared" si="217"/>
        <v>12585.073000000002</v>
      </c>
      <c r="J474" s="224"/>
      <c r="K474" s="224"/>
      <c r="L474" s="224"/>
      <c r="M474" s="226"/>
      <c r="N474" s="226"/>
      <c r="O474" s="226"/>
      <c r="P474" s="225">
        <f t="shared" si="211"/>
        <v>96.689548830820016</v>
      </c>
    </row>
    <row r="475" spans="1:16" x14ac:dyDescent="0.25">
      <c r="A475" s="198">
        <v>463</v>
      </c>
      <c r="B475" s="199" t="s">
        <v>286</v>
      </c>
      <c r="C475" s="195" t="s">
        <v>158</v>
      </c>
      <c r="D475" s="195" t="s">
        <v>96</v>
      </c>
      <c r="E475" s="198">
        <v>9100000000</v>
      </c>
      <c r="F475" s="198"/>
      <c r="G475" s="32">
        <f>G476</f>
        <v>12366.68</v>
      </c>
      <c r="H475" s="32">
        <f t="shared" si="216"/>
        <v>12366.68</v>
      </c>
      <c r="I475" s="32">
        <f t="shared" si="216"/>
        <v>11935.793000000001</v>
      </c>
      <c r="J475" s="224"/>
      <c r="K475" s="224"/>
      <c r="L475" s="224"/>
      <c r="M475" s="226"/>
      <c r="N475" s="226"/>
      <c r="O475" s="226"/>
      <c r="P475" s="225">
        <f t="shared" si="211"/>
        <v>96.515742301086476</v>
      </c>
    </row>
    <row r="476" spans="1:16" x14ac:dyDescent="0.25">
      <c r="A476" s="198">
        <v>464</v>
      </c>
      <c r="B476" s="199" t="s">
        <v>294</v>
      </c>
      <c r="C476" s="195" t="s">
        <v>158</v>
      </c>
      <c r="D476" s="195" t="s">
        <v>96</v>
      </c>
      <c r="E476" s="198">
        <v>9150000000</v>
      </c>
      <c r="F476" s="198"/>
      <c r="G476" s="32">
        <f>G477+G490+G484+G487</f>
        <v>12366.68</v>
      </c>
      <c r="H476" s="32">
        <f t="shared" ref="H476:O476" si="218">H477+H490+H484+H487</f>
        <v>12366.68</v>
      </c>
      <c r="I476" s="32">
        <f t="shared" si="218"/>
        <v>11935.793000000001</v>
      </c>
      <c r="J476" s="32">
        <f t="shared" si="218"/>
        <v>0</v>
      </c>
      <c r="K476" s="32">
        <f t="shared" si="218"/>
        <v>0</v>
      </c>
      <c r="L476" s="32">
        <f t="shared" si="218"/>
        <v>0</v>
      </c>
      <c r="M476" s="32">
        <f t="shared" si="218"/>
        <v>0</v>
      </c>
      <c r="N476" s="32">
        <f t="shared" si="218"/>
        <v>0</v>
      </c>
      <c r="O476" s="219">
        <f t="shared" si="218"/>
        <v>0</v>
      </c>
      <c r="P476" s="225">
        <f t="shared" si="211"/>
        <v>96.515742301086476</v>
      </c>
    </row>
    <row r="477" spans="1:16" x14ac:dyDescent="0.25">
      <c r="A477" s="198">
        <v>465</v>
      </c>
      <c r="B477" s="199" t="s">
        <v>315</v>
      </c>
      <c r="C477" s="195" t="s">
        <v>158</v>
      </c>
      <c r="D477" s="195" t="s">
        <v>96</v>
      </c>
      <c r="E477" s="198">
        <v>9150000620</v>
      </c>
      <c r="F477" s="198"/>
      <c r="G477" s="32">
        <f>G478+G480+G482</f>
        <v>11433.96</v>
      </c>
      <c r="H477" s="32">
        <f t="shared" ref="H477:I477" si="219">H478+H480+H482</f>
        <v>11433.96</v>
      </c>
      <c r="I477" s="32">
        <f t="shared" si="219"/>
        <v>11003.073</v>
      </c>
      <c r="J477" s="224"/>
      <c r="K477" s="224"/>
      <c r="L477" s="224"/>
      <c r="M477" s="226"/>
      <c r="N477" s="226"/>
      <c r="O477" s="226"/>
      <c r="P477" s="225">
        <f t="shared" si="211"/>
        <v>96.231515590399141</v>
      </c>
    </row>
    <row r="478" spans="1:16" ht="45" x14ac:dyDescent="0.25">
      <c r="A478" s="198">
        <v>466</v>
      </c>
      <c r="B478" s="208" t="s">
        <v>16</v>
      </c>
      <c r="C478" s="195" t="s">
        <v>158</v>
      </c>
      <c r="D478" s="195" t="s">
        <v>96</v>
      </c>
      <c r="E478" s="198">
        <v>9150000620</v>
      </c>
      <c r="F478" s="198">
        <v>100</v>
      </c>
      <c r="G478" s="32">
        <f>G479</f>
        <v>6868.22</v>
      </c>
      <c r="H478" s="32">
        <f t="shared" ref="H478:I478" si="220">H479</f>
        <v>6868.22</v>
      </c>
      <c r="I478" s="32">
        <f t="shared" si="220"/>
        <v>6577.8280000000004</v>
      </c>
      <c r="J478" s="224"/>
      <c r="K478" s="224"/>
      <c r="L478" s="224"/>
      <c r="M478" s="226"/>
      <c r="N478" s="226"/>
      <c r="O478" s="226"/>
      <c r="P478" s="225">
        <f t="shared" si="211"/>
        <v>95.771946734379512</v>
      </c>
    </row>
    <row r="479" spans="1:16" x14ac:dyDescent="0.25">
      <c r="A479" s="198">
        <v>467</v>
      </c>
      <c r="B479" s="208" t="s">
        <v>65</v>
      </c>
      <c r="C479" s="195" t="s">
        <v>158</v>
      </c>
      <c r="D479" s="195" t="s">
        <v>96</v>
      </c>
      <c r="E479" s="198">
        <v>9150000620</v>
      </c>
      <c r="F479" s="198">
        <v>110</v>
      </c>
      <c r="G479" s="32">
        <v>6868.22</v>
      </c>
      <c r="H479" s="32">
        <v>6868.22</v>
      </c>
      <c r="I479" s="32">
        <v>6577.8280000000004</v>
      </c>
      <c r="J479" s="224"/>
      <c r="K479" s="224"/>
      <c r="L479" s="224"/>
      <c r="M479" s="226"/>
      <c r="N479" s="226"/>
      <c r="O479" s="226"/>
      <c r="P479" s="225">
        <f t="shared" si="211"/>
        <v>95.771946734379512</v>
      </c>
    </row>
    <row r="480" spans="1:16" x14ac:dyDescent="0.25">
      <c r="A480" s="198">
        <v>468</v>
      </c>
      <c r="B480" s="208" t="s">
        <v>21</v>
      </c>
      <c r="C480" s="195" t="s">
        <v>158</v>
      </c>
      <c r="D480" s="195" t="s">
        <v>96</v>
      </c>
      <c r="E480" s="198">
        <v>9150000620</v>
      </c>
      <c r="F480" s="198">
        <v>200</v>
      </c>
      <c r="G480" s="32">
        <f>G481</f>
        <v>4535.74</v>
      </c>
      <c r="H480" s="32">
        <f t="shared" ref="H480:I480" si="221">H481</f>
        <v>4535.74</v>
      </c>
      <c r="I480" s="32">
        <f t="shared" si="221"/>
        <v>4424.6549999999997</v>
      </c>
      <c r="J480" s="224"/>
      <c r="K480" s="224"/>
      <c r="L480" s="224"/>
      <c r="M480" s="226"/>
      <c r="N480" s="226"/>
      <c r="O480" s="226"/>
      <c r="P480" s="225">
        <f t="shared" si="211"/>
        <v>97.55089577444916</v>
      </c>
    </row>
    <row r="481" spans="1:16" x14ac:dyDescent="0.25">
      <c r="A481" s="198">
        <v>469</v>
      </c>
      <c r="B481" s="208" t="s">
        <v>22</v>
      </c>
      <c r="C481" s="195" t="s">
        <v>158</v>
      </c>
      <c r="D481" s="195" t="s">
        <v>96</v>
      </c>
      <c r="E481" s="198">
        <v>9150000620</v>
      </c>
      <c r="F481" s="198">
        <v>240</v>
      </c>
      <c r="G481" s="32">
        <f>4663-30-97.26</f>
        <v>4535.74</v>
      </c>
      <c r="H481" s="32">
        <v>4535.74</v>
      </c>
      <c r="I481" s="32">
        <v>4424.6549999999997</v>
      </c>
      <c r="J481" s="224">
        <v>-97.26</v>
      </c>
      <c r="K481" s="224"/>
      <c r="L481" s="224"/>
      <c r="M481" s="226"/>
      <c r="N481" s="226"/>
      <c r="O481" s="226"/>
      <c r="P481" s="225">
        <f t="shared" si="211"/>
        <v>97.55089577444916</v>
      </c>
    </row>
    <row r="482" spans="1:16" x14ac:dyDescent="0.25">
      <c r="A482" s="198">
        <v>470</v>
      </c>
      <c r="B482" s="208" t="s">
        <v>33</v>
      </c>
      <c r="C482" s="195" t="s">
        <v>158</v>
      </c>
      <c r="D482" s="195" t="s">
        <v>96</v>
      </c>
      <c r="E482" s="198">
        <v>9150000620</v>
      </c>
      <c r="F482" s="198">
        <v>800</v>
      </c>
      <c r="G482" s="32">
        <f>G483</f>
        <v>30</v>
      </c>
      <c r="H482" s="32">
        <f t="shared" ref="H482:I482" si="222">H483</f>
        <v>30</v>
      </c>
      <c r="I482" s="32">
        <f t="shared" si="222"/>
        <v>0.59</v>
      </c>
      <c r="J482" s="224"/>
      <c r="K482" s="224"/>
      <c r="L482" s="224"/>
      <c r="M482" s="226"/>
      <c r="N482" s="226"/>
      <c r="O482" s="226"/>
      <c r="P482" s="225">
        <f t="shared" si="211"/>
        <v>1.9666666666666666</v>
      </c>
    </row>
    <row r="483" spans="1:16" x14ac:dyDescent="0.25">
      <c r="A483" s="198">
        <v>471</v>
      </c>
      <c r="B483" s="208" t="s">
        <v>82</v>
      </c>
      <c r="C483" s="195" t="s">
        <v>158</v>
      </c>
      <c r="D483" s="195" t="s">
        <v>96</v>
      </c>
      <c r="E483" s="198">
        <v>9150000620</v>
      </c>
      <c r="F483" s="198">
        <v>850</v>
      </c>
      <c r="G483" s="32">
        <v>30</v>
      </c>
      <c r="H483" s="32">
        <v>30</v>
      </c>
      <c r="I483" s="32">
        <v>0.59</v>
      </c>
      <c r="J483" s="224"/>
      <c r="K483" s="224"/>
      <c r="L483" s="224"/>
      <c r="M483" s="226"/>
      <c r="N483" s="226"/>
      <c r="O483" s="226"/>
      <c r="P483" s="225">
        <f t="shared" si="211"/>
        <v>1.9666666666666666</v>
      </c>
    </row>
    <row r="484" spans="1:16" x14ac:dyDescent="0.25">
      <c r="A484" s="198">
        <v>472</v>
      </c>
      <c r="B484" s="203" t="s">
        <v>541</v>
      </c>
      <c r="C484" s="195" t="s">
        <v>158</v>
      </c>
      <c r="D484" s="195" t="s">
        <v>96</v>
      </c>
      <c r="E484" s="198">
        <v>9150084580</v>
      </c>
      <c r="F484" s="198"/>
      <c r="G484" s="32">
        <f>G485</f>
        <v>97.26</v>
      </c>
      <c r="H484" s="32">
        <f t="shared" ref="H484:I485" si="223">H485</f>
        <v>97.26</v>
      </c>
      <c r="I484" s="32">
        <f t="shared" si="223"/>
        <v>97.26</v>
      </c>
      <c r="J484" s="224"/>
      <c r="K484" s="224"/>
      <c r="L484" s="224"/>
      <c r="M484" s="226"/>
      <c r="N484" s="226"/>
      <c r="O484" s="226"/>
      <c r="P484" s="225">
        <f t="shared" si="211"/>
        <v>100</v>
      </c>
    </row>
    <row r="485" spans="1:16" x14ac:dyDescent="0.25">
      <c r="A485" s="198">
        <v>473</v>
      </c>
      <c r="B485" s="208" t="s">
        <v>21</v>
      </c>
      <c r="C485" s="195" t="s">
        <v>158</v>
      </c>
      <c r="D485" s="195" t="s">
        <v>96</v>
      </c>
      <c r="E485" s="198">
        <v>9150084580</v>
      </c>
      <c r="F485" s="198">
        <v>200</v>
      </c>
      <c r="G485" s="32">
        <f>G486</f>
        <v>97.26</v>
      </c>
      <c r="H485" s="32">
        <f t="shared" si="223"/>
        <v>97.26</v>
      </c>
      <c r="I485" s="32">
        <f t="shared" si="223"/>
        <v>97.26</v>
      </c>
      <c r="J485" s="224"/>
      <c r="K485" s="224"/>
      <c r="L485" s="224"/>
      <c r="M485" s="226"/>
      <c r="N485" s="226"/>
      <c r="O485" s="226"/>
      <c r="P485" s="225">
        <f t="shared" si="211"/>
        <v>100</v>
      </c>
    </row>
    <row r="486" spans="1:16" x14ac:dyDescent="0.25">
      <c r="A486" s="198">
        <v>474</v>
      </c>
      <c r="B486" s="208" t="s">
        <v>22</v>
      </c>
      <c r="C486" s="195" t="s">
        <v>158</v>
      </c>
      <c r="D486" s="195" t="s">
        <v>96</v>
      </c>
      <c r="E486" s="198">
        <v>9150084580</v>
      </c>
      <c r="F486" s="198">
        <v>240</v>
      </c>
      <c r="G486" s="32">
        <v>97.26</v>
      </c>
      <c r="H486" s="32">
        <v>97.26</v>
      </c>
      <c r="I486" s="32">
        <v>97.26</v>
      </c>
      <c r="J486" s="224">
        <v>97.26</v>
      </c>
      <c r="K486" s="224"/>
      <c r="L486" s="224"/>
      <c r="M486" s="226"/>
      <c r="N486" s="226"/>
      <c r="O486" s="226"/>
      <c r="P486" s="225">
        <f t="shared" si="211"/>
        <v>100</v>
      </c>
    </row>
    <row r="487" spans="1:16" ht="30" x14ac:dyDescent="0.25">
      <c r="A487" s="198">
        <v>475</v>
      </c>
      <c r="B487" s="208" t="s">
        <v>564</v>
      </c>
      <c r="C487" s="195" t="s">
        <v>158</v>
      </c>
      <c r="D487" s="195" t="s">
        <v>96</v>
      </c>
      <c r="E487" s="198">
        <v>9150010350</v>
      </c>
      <c r="F487" s="198"/>
      <c r="G487" s="32">
        <f>G488</f>
        <v>57.2</v>
      </c>
      <c r="H487" s="32">
        <f t="shared" ref="H487:I488" si="224">H488</f>
        <v>57.2</v>
      </c>
      <c r="I487" s="32">
        <f t="shared" si="224"/>
        <v>57.2</v>
      </c>
      <c r="J487" s="224"/>
      <c r="K487" s="224"/>
      <c r="L487" s="224"/>
      <c r="M487" s="226"/>
      <c r="N487" s="226"/>
      <c r="O487" s="226"/>
      <c r="P487" s="225">
        <f t="shared" si="211"/>
        <v>100</v>
      </c>
    </row>
    <row r="488" spans="1:16" ht="45" x14ac:dyDescent="0.25">
      <c r="A488" s="198">
        <v>476</v>
      </c>
      <c r="B488" s="208" t="s">
        <v>16</v>
      </c>
      <c r="C488" s="195" t="s">
        <v>158</v>
      </c>
      <c r="D488" s="195" t="s">
        <v>96</v>
      </c>
      <c r="E488" s="198">
        <v>9150010350</v>
      </c>
      <c r="F488" s="198">
        <v>100</v>
      </c>
      <c r="G488" s="32">
        <f>G489</f>
        <v>57.2</v>
      </c>
      <c r="H488" s="32">
        <f t="shared" si="224"/>
        <v>57.2</v>
      </c>
      <c r="I488" s="32">
        <f t="shared" si="224"/>
        <v>57.2</v>
      </c>
      <c r="J488" s="224"/>
      <c r="K488" s="224"/>
      <c r="L488" s="224"/>
      <c r="M488" s="226"/>
      <c r="N488" s="226"/>
      <c r="O488" s="226"/>
      <c r="P488" s="225">
        <f t="shared" si="211"/>
        <v>100</v>
      </c>
    </row>
    <row r="489" spans="1:16" x14ac:dyDescent="0.25">
      <c r="A489" s="198">
        <v>477</v>
      </c>
      <c r="B489" s="208" t="s">
        <v>65</v>
      </c>
      <c r="C489" s="195" t="s">
        <v>158</v>
      </c>
      <c r="D489" s="195" t="s">
        <v>96</v>
      </c>
      <c r="E489" s="198">
        <v>9150010350</v>
      </c>
      <c r="F489" s="198">
        <v>110</v>
      </c>
      <c r="G489" s="32">
        <v>57.2</v>
      </c>
      <c r="H489" s="32">
        <v>57.2</v>
      </c>
      <c r="I489" s="32">
        <v>57.2</v>
      </c>
      <c r="J489" s="224"/>
      <c r="K489" s="224"/>
      <c r="L489" s="224"/>
      <c r="M489" s="226"/>
      <c r="N489" s="226"/>
      <c r="O489" s="226"/>
      <c r="P489" s="225">
        <f t="shared" si="211"/>
        <v>100</v>
      </c>
    </row>
    <row r="490" spans="1:16" ht="30" x14ac:dyDescent="0.25">
      <c r="A490" s="198">
        <v>478</v>
      </c>
      <c r="B490" s="208" t="s">
        <v>491</v>
      </c>
      <c r="C490" s="195" t="s">
        <v>158</v>
      </c>
      <c r="D490" s="195" t="s">
        <v>96</v>
      </c>
      <c r="E490" s="198">
        <v>9150010360</v>
      </c>
      <c r="F490" s="198"/>
      <c r="G490" s="32">
        <f>G491</f>
        <v>778.26</v>
      </c>
      <c r="H490" s="32">
        <f t="shared" ref="H490:I491" si="225">H491</f>
        <v>778.26</v>
      </c>
      <c r="I490" s="32">
        <f t="shared" si="225"/>
        <v>778.26</v>
      </c>
      <c r="J490" s="224"/>
      <c r="K490" s="224"/>
      <c r="L490" s="224"/>
      <c r="M490" s="226"/>
      <c r="N490" s="226"/>
      <c r="O490" s="226"/>
      <c r="P490" s="225">
        <f t="shared" si="211"/>
        <v>100</v>
      </c>
    </row>
    <row r="491" spans="1:16" ht="45" x14ac:dyDescent="0.25">
      <c r="A491" s="198">
        <v>479</v>
      </c>
      <c r="B491" s="208" t="s">
        <v>16</v>
      </c>
      <c r="C491" s="195" t="s">
        <v>158</v>
      </c>
      <c r="D491" s="195" t="s">
        <v>96</v>
      </c>
      <c r="E491" s="198">
        <v>9150010360</v>
      </c>
      <c r="F491" s="198">
        <v>100</v>
      </c>
      <c r="G491" s="32">
        <f>G492</f>
        <v>778.26</v>
      </c>
      <c r="H491" s="32">
        <f t="shared" si="225"/>
        <v>778.26</v>
      </c>
      <c r="I491" s="32">
        <f t="shared" si="225"/>
        <v>778.26</v>
      </c>
      <c r="J491" s="224"/>
      <c r="K491" s="224"/>
      <c r="L491" s="224"/>
      <c r="M491" s="226"/>
      <c r="N491" s="226"/>
      <c r="O491" s="226"/>
      <c r="P491" s="225">
        <f t="shared" si="211"/>
        <v>100</v>
      </c>
    </row>
    <row r="492" spans="1:16" x14ac:dyDescent="0.25">
      <c r="A492" s="198">
        <v>480</v>
      </c>
      <c r="B492" s="208" t="s">
        <v>65</v>
      </c>
      <c r="C492" s="195" t="s">
        <v>158</v>
      </c>
      <c r="D492" s="195" t="s">
        <v>96</v>
      </c>
      <c r="E492" s="198">
        <v>9150010360</v>
      </c>
      <c r="F492" s="198">
        <v>110</v>
      </c>
      <c r="G492" s="32">
        <v>778.26</v>
      </c>
      <c r="H492" s="32">
        <v>778.26</v>
      </c>
      <c r="I492" s="32">
        <v>778.26</v>
      </c>
      <c r="J492" s="224">
        <v>778.26</v>
      </c>
      <c r="K492" s="224"/>
      <c r="L492" s="224"/>
      <c r="M492" s="226"/>
      <c r="N492" s="226"/>
      <c r="O492" s="226"/>
      <c r="P492" s="225">
        <f t="shared" si="211"/>
        <v>100</v>
      </c>
    </row>
    <row r="493" spans="1:16" x14ac:dyDescent="0.25">
      <c r="A493" s="198">
        <v>481</v>
      </c>
      <c r="B493" s="203" t="s">
        <v>292</v>
      </c>
      <c r="C493" s="195" t="s">
        <v>158</v>
      </c>
      <c r="D493" s="195" t="s">
        <v>96</v>
      </c>
      <c r="E493" s="195" t="s">
        <v>183</v>
      </c>
      <c r="F493" s="198"/>
      <c r="G493" s="32">
        <f>G494</f>
        <v>649.28</v>
      </c>
      <c r="H493" s="32">
        <f t="shared" ref="H493:I493" si="226">H494</f>
        <v>649.28</v>
      </c>
      <c r="I493" s="32">
        <f t="shared" si="226"/>
        <v>649.28</v>
      </c>
      <c r="J493" s="224"/>
      <c r="K493" s="224"/>
      <c r="L493" s="224"/>
      <c r="M493" s="226"/>
      <c r="N493" s="226"/>
      <c r="O493" s="226"/>
      <c r="P493" s="225">
        <f t="shared" si="211"/>
        <v>100</v>
      </c>
    </row>
    <row r="494" spans="1:16" ht="30" x14ac:dyDescent="0.25">
      <c r="A494" s="198">
        <v>482</v>
      </c>
      <c r="B494" s="199" t="s">
        <v>431</v>
      </c>
      <c r="C494" s="195" t="s">
        <v>158</v>
      </c>
      <c r="D494" s="195" t="s">
        <v>96</v>
      </c>
      <c r="E494" s="195" t="s">
        <v>184</v>
      </c>
      <c r="F494" s="198"/>
      <c r="G494" s="32">
        <f>G495+G498</f>
        <v>649.28</v>
      </c>
      <c r="H494" s="32">
        <f t="shared" ref="H494:I494" si="227">H495+H498</f>
        <v>649.28</v>
      </c>
      <c r="I494" s="32">
        <f t="shared" si="227"/>
        <v>649.28</v>
      </c>
      <c r="J494" s="224"/>
      <c r="K494" s="224"/>
      <c r="L494" s="224"/>
      <c r="M494" s="226"/>
      <c r="N494" s="226"/>
      <c r="O494" s="226"/>
      <c r="P494" s="225">
        <f t="shared" si="211"/>
        <v>100</v>
      </c>
    </row>
    <row r="495" spans="1:16" ht="45" x14ac:dyDescent="0.25">
      <c r="A495" s="198">
        <v>483</v>
      </c>
      <c r="B495" s="199" t="s">
        <v>399</v>
      </c>
      <c r="C495" s="195" t="s">
        <v>158</v>
      </c>
      <c r="D495" s="195" t="s">
        <v>96</v>
      </c>
      <c r="E495" s="195" t="s">
        <v>295</v>
      </c>
      <c r="F495" s="198"/>
      <c r="G495" s="32">
        <f>G496</f>
        <v>400</v>
      </c>
      <c r="H495" s="32">
        <f t="shared" ref="H495:I496" si="228">H496</f>
        <v>400</v>
      </c>
      <c r="I495" s="32">
        <f t="shared" si="228"/>
        <v>400</v>
      </c>
      <c r="J495" s="224"/>
      <c r="K495" s="224"/>
      <c r="L495" s="224"/>
      <c r="M495" s="226"/>
      <c r="N495" s="226"/>
      <c r="O495" s="226"/>
      <c r="P495" s="225">
        <f t="shared" si="211"/>
        <v>100</v>
      </c>
    </row>
    <row r="496" spans="1:16" x14ac:dyDescent="0.25">
      <c r="A496" s="198">
        <v>484</v>
      </c>
      <c r="B496" s="208" t="s">
        <v>21</v>
      </c>
      <c r="C496" s="195" t="s">
        <v>158</v>
      </c>
      <c r="D496" s="195" t="s">
        <v>96</v>
      </c>
      <c r="E496" s="195" t="s">
        <v>295</v>
      </c>
      <c r="F496" s="198">
        <v>200</v>
      </c>
      <c r="G496" s="32">
        <f>G497</f>
        <v>400</v>
      </c>
      <c r="H496" s="32">
        <f t="shared" si="228"/>
        <v>400</v>
      </c>
      <c r="I496" s="32">
        <f t="shared" si="228"/>
        <v>400</v>
      </c>
      <c r="J496" s="224"/>
      <c r="K496" s="224"/>
      <c r="L496" s="224"/>
      <c r="M496" s="226"/>
      <c r="N496" s="226"/>
      <c r="O496" s="226"/>
      <c r="P496" s="225">
        <f t="shared" si="211"/>
        <v>100</v>
      </c>
    </row>
    <row r="497" spans="1:16" x14ac:dyDescent="0.25">
      <c r="A497" s="198">
        <v>485</v>
      </c>
      <c r="B497" s="208" t="s">
        <v>22</v>
      </c>
      <c r="C497" s="195" t="s">
        <v>158</v>
      </c>
      <c r="D497" s="195" t="s">
        <v>96</v>
      </c>
      <c r="E497" s="195" t="s">
        <v>295</v>
      </c>
      <c r="F497" s="198">
        <v>240</v>
      </c>
      <c r="G497" s="32">
        <f>400-100+100</f>
        <v>400</v>
      </c>
      <c r="H497" s="32">
        <v>400</v>
      </c>
      <c r="I497" s="32">
        <v>400</v>
      </c>
      <c r="J497" s="224">
        <v>-100</v>
      </c>
      <c r="K497" s="224">
        <v>100</v>
      </c>
      <c r="L497" s="224"/>
      <c r="M497" s="226"/>
      <c r="N497" s="226"/>
      <c r="O497" s="226"/>
      <c r="P497" s="225">
        <f t="shared" si="211"/>
        <v>100</v>
      </c>
    </row>
    <row r="498" spans="1:16" ht="45" x14ac:dyDescent="0.25">
      <c r="A498" s="198">
        <v>486</v>
      </c>
      <c r="B498" s="199" t="s">
        <v>400</v>
      </c>
      <c r="C498" s="195" t="s">
        <v>158</v>
      </c>
      <c r="D498" s="195" t="s">
        <v>96</v>
      </c>
      <c r="E498" s="195" t="s">
        <v>296</v>
      </c>
      <c r="F498" s="198"/>
      <c r="G498" s="32">
        <f>G499</f>
        <v>249.28</v>
      </c>
      <c r="H498" s="32">
        <f t="shared" ref="H498:I499" si="229">H499</f>
        <v>249.28</v>
      </c>
      <c r="I498" s="32">
        <f t="shared" si="229"/>
        <v>249.28</v>
      </c>
      <c r="J498" s="224"/>
      <c r="K498" s="224"/>
      <c r="L498" s="224"/>
      <c r="M498" s="226"/>
      <c r="N498" s="226"/>
      <c r="O498" s="226"/>
      <c r="P498" s="225">
        <f t="shared" si="211"/>
        <v>100</v>
      </c>
    </row>
    <row r="499" spans="1:16" x14ac:dyDescent="0.25">
      <c r="A499" s="198">
        <v>487</v>
      </c>
      <c r="B499" s="208" t="s">
        <v>21</v>
      </c>
      <c r="C499" s="195" t="s">
        <v>158</v>
      </c>
      <c r="D499" s="195" t="s">
        <v>96</v>
      </c>
      <c r="E499" s="195" t="s">
        <v>296</v>
      </c>
      <c r="F499" s="198">
        <v>200</v>
      </c>
      <c r="G499" s="32">
        <f>G500</f>
        <v>249.28</v>
      </c>
      <c r="H499" s="32">
        <f t="shared" si="229"/>
        <v>249.28</v>
      </c>
      <c r="I499" s="32">
        <f t="shared" si="229"/>
        <v>249.28</v>
      </c>
      <c r="J499" s="224"/>
      <c r="K499" s="224"/>
      <c r="L499" s="224"/>
      <c r="M499" s="226"/>
      <c r="N499" s="226"/>
      <c r="O499" s="226"/>
      <c r="P499" s="225">
        <f t="shared" si="211"/>
        <v>100</v>
      </c>
    </row>
    <row r="500" spans="1:16" x14ac:dyDescent="0.25">
      <c r="A500" s="198">
        <v>488</v>
      </c>
      <c r="B500" s="208" t="s">
        <v>22</v>
      </c>
      <c r="C500" s="195" t="s">
        <v>158</v>
      </c>
      <c r="D500" s="195" t="s">
        <v>96</v>
      </c>
      <c r="E500" s="195" t="s">
        <v>296</v>
      </c>
      <c r="F500" s="198">
        <v>240</v>
      </c>
      <c r="G500" s="32">
        <f>600-400+65-15.72</f>
        <v>249.28</v>
      </c>
      <c r="H500" s="32">
        <v>249.28</v>
      </c>
      <c r="I500" s="32">
        <v>249.28</v>
      </c>
      <c r="J500" s="224">
        <v>-400</v>
      </c>
      <c r="K500" s="224">
        <v>65</v>
      </c>
      <c r="L500" s="224"/>
      <c r="M500" s="226"/>
      <c r="N500" s="226"/>
      <c r="O500" s="226"/>
      <c r="P500" s="225">
        <f t="shared" si="211"/>
        <v>100</v>
      </c>
    </row>
    <row r="501" spans="1:16" ht="35.25" customHeight="1" x14ac:dyDescent="0.25">
      <c r="A501" s="198">
        <v>489</v>
      </c>
      <c r="B501" s="235" t="s">
        <v>241</v>
      </c>
      <c r="C501" s="49">
        <v>951</v>
      </c>
      <c r="D501" s="48"/>
      <c r="E501" s="48"/>
      <c r="F501" s="48"/>
      <c r="G501" s="51">
        <f>G502+G611</f>
        <v>567081.11499999999</v>
      </c>
      <c r="H501" s="51">
        <f>H502+H611</f>
        <v>570484.34299999999</v>
      </c>
      <c r="I501" s="51">
        <f>I502+I611</f>
        <v>550690.48499999999</v>
      </c>
      <c r="J501" s="224"/>
      <c r="K501" s="224"/>
      <c r="L501" s="224"/>
      <c r="M501" s="226"/>
      <c r="N501" s="226"/>
      <c r="O501" s="226"/>
      <c r="P501" s="225">
        <f t="shared" si="211"/>
        <v>96.530341587306282</v>
      </c>
    </row>
    <row r="502" spans="1:16" x14ac:dyDescent="0.25">
      <c r="A502" s="198">
        <v>490</v>
      </c>
      <c r="B502" s="62" t="s">
        <v>116</v>
      </c>
      <c r="C502" s="195">
        <v>951</v>
      </c>
      <c r="D502" s="195" t="s">
        <v>117</v>
      </c>
      <c r="E502" s="198"/>
      <c r="F502" s="198"/>
      <c r="G502" s="32">
        <f>G503+G527+G569+G591</f>
        <v>553546.55499999993</v>
      </c>
      <c r="H502" s="32">
        <f>H503+H527+H569+H591</f>
        <v>556949.78299999994</v>
      </c>
      <c r="I502" s="32">
        <f>I503+I527+I569+I591</f>
        <v>538814.66500000004</v>
      </c>
      <c r="J502" s="224"/>
      <c r="K502" s="224"/>
      <c r="L502" s="224"/>
      <c r="M502" s="226"/>
      <c r="N502" s="226"/>
      <c r="O502" s="226"/>
      <c r="P502" s="225">
        <f t="shared" si="211"/>
        <v>96.743850423584803</v>
      </c>
    </row>
    <row r="503" spans="1:16" x14ac:dyDescent="0.25">
      <c r="A503" s="198">
        <v>491</v>
      </c>
      <c r="B503" s="208" t="s">
        <v>118</v>
      </c>
      <c r="C503" s="195">
        <v>951</v>
      </c>
      <c r="D503" s="195" t="s">
        <v>119</v>
      </c>
      <c r="E503" s="198"/>
      <c r="F503" s="198"/>
      <c r="G503" s="32">
        <f>G504</f>
        <v>188023.36000000002</v>
      </c>
      <c r="H503" s="32">
        <f t="shared" ref="H503:I504" si="230">H504</f>
        <v>189323.36000000002</v>
      </c>
      <c r="I503" s="32">
        <f t="shared" si="230"/>
        <v>186012.58000000005</v>
      </c>
      <c r="J503" s="224"/>
      <c r="K503" s="224"/>
      <c r="L503" s="224"/>
      <c r="M503" s="226"/>
      <c r="N503" s="226"/>
      <c r="O503" s="226"/>
      <c r="P503" s="225">
        <f t="shared" si="211"/>
        <v>98.251256474636847</v>
      </c>
    </row>
    <row r="504" spans="1:16" ht="30" x14ac:dyDescent="0.25">
      <c r="A504" s="198">
        <v>492</v>
      </c>
      <c r="B504" s="199" t="s">
        <v>56</v>
      </c>
      <c r="C504" s="195">
        <v>951</v>
      </c>
      <c r="D504" s="195" t="s">
        <v>119</v>
      </c>
      <c r="E504" s="195" t="s">
        <v>189</v>
      </c>
      <c r="F504" s="198"/>
      <c r="G504" s="32">
        <f>G505</f>
        <v>188023.36000000002</v>
      </c>
      <c r="H504" s="32">
        <f t="shared" si="230"/>
        <v>189323.36000000002</v>
      </c>
      <c r="I504" s="32">
        <f t="shared" si="230"/>
        <v>186012.58000000005</v>
      </c>
      <c r="J504" s="224"/>
      <c r="K504" s="224"/>
      <c r="L504" s="224"/>
      <c r="M504" s="226"/>
      <c r="N504" s="226"/>
      <c r="O504" s="226"/>
      <c r="P504" s="225">
        <f t="shared" si="211"/>
        <v>98.251256474636847</v>
      </c>
    </row>
    <row r="505" spans="1:16" x14ac:dyDescent="0.25">
      <c r="A505" s="198">
        <v>493</v>
      </c>
      <c r="B505" s="199" t="s">
        <v>137</v>
      </c>
      <c r="C505" s="195">
        <v>951</v>
      </c>
      <c r="D505" s="195" t="s">
        <v>119</v>
      </c>
      <c r="E505" s="195" t="s">
        <v>199</v>
      </c>
      <c r="F505" s="198"/>
      <c r="G505" s="32">
        <f>G506+G512+G515+G518+G509+G524</f>
        <v>188023.36000000002</v>
      </c>
      <c r="H505" s="32">
        <f>H506+H512+H515+H518+H509+H524+H521</f>
        <v>189323.36000000002</v>
      </c>
      <c r="I505" s="32">
        <f>I506+I512+I515+I518+I509+I524</f>
        <v>186012.58000000005</v>
      </c>
      <c r="J505" s="224"/>
      <c r="K505" s="224"/>
      <c r="L505" s="224"/>
      <c r="M505" s="226"/>
      <c r="N505" s="226"/>
      <c r="O505" s="226"/>
      <c r="P505" s="225">
        <f t="shared" si="211"/>
        <v>98.251256474636847</v>
      </c>
    </row>
    <row r="506" spans="1:16" ht="45" x14ac:dyDescent="0.25">
      <c r="A506" s="198">
        <v>494</v>
      </c>
      <c r="B506" s="208" t="s">
        <v>357</v>
      </c>
      <c r="C506" s="195">
        <v>951</v>
      </c>
      <c r="D506" s="195" t="s">
        <v>119</v>
      </c>
      <c r="E506" s="195" t="s">
        <v>200</v>
      </c>
      <c r="F506" s="198"/>
      <c r="G506" s="32">
        <f>G507</f>
        <v>88170.46</v>
      </c>
      <c r="H506" s="32">
        <f t="shared" ref="H506:I506" si="231">H507</f>
        <v>88170.46</v>
      </c>
      <c r="I506" s="32">
        <f t="shared" si="231"/>
        <v>86169.46</v>
      </c>
      <c r="J506" s="32">
        <f t="shared" ref="J506" si="232">J507</f>
        <v>0</v>
      </c>
      <c r="K506" s="32">
        <f t="shared" ref="K506" si="233">K507</f>
        <v>0</v>
      </c>
      <c r="L506" s="32">
        <f t="shared" ref="L506" si="234">L507</f>
        <v>0</v>
      </c>
      <c r="M506" s="32">
        <f t="shared" ref="M506" si="235">M507</f>
        <v>0</v>
      </c>
      <c r="N506" s="32">
        <f t="shared" ref="N506" si="236">N507</f>
        <v>0</v>
      </c>
      <c r="O506" s="219">
        <f t="shared" ref="O506" si="237">O507</f>
        <v>0</v>
      </c>
      <c r="P506" s="225">
        <f t="shared" si="211"/>
        <v>97.730532425485819</v>
      </c>
    </row>
    <row r="507" spans="1:16" ht="30" x14ac:dyDescent="0.25">
      <c r="A507" s="198">
        <v>495</v>
      </c>
      <c r="B507" s="208" t="s">
        <v>51</v>
      </c>
      <c r="C507" s="195">
        <v>951</v>
      </c>
      <c r="D507" s="195" t="s">
        <v>119</v>
      </c>
      <c r="E507" s="195" t="s">
        <v>200</v>
      </c>
      <c r="F507" s="198">
        <v>600</v>
      </c>
      <c r="G507" s="32">
        <f>G508</f>
        <v>88170.46</v>
      </c>
      <c r="H507" s="32">
        <f t="shared" ref="H507:I507" si="238">H508</f>
        <v>88170.46</v>
      </c>
      <c r="I507" s="32">
        <f t="shared" si="238"/>
        <v>86169.46</v>
      </c>
      <c r="J507" s="224"/>
      <c r="K507" s="224"/>
      <c r="L507" s="224"/>
      <c r="M507" s="226"/>
      <c r="N507" s="226"/>
      <c r="O507" s="226"/>
      <c r="P507" s="225">
        <f t="shared" si="211"/>
        <v>97.730532425485819</v>
      </c>
    </row>
    <row r="508" spans="1:16" x14ac:dyDescent="0.25">
      <c r="A508" s="198">
        <v>496</v>
      </c>
      <c r="B508" s="208" t="s">
        <v>69</v>
      </c>
      <c r="C508" s="195">
        <v>951</v>
      </c>
      <c r="D508" s="195" t="s">
        <v>119</v>
      </c>
      <c r="E508" s="195" t="s">
        <v>200</v>
      </c>
      <c r="F508" s="198">
        <v>610</v>
      </c>
      <c r="G508" s="32">
        <f>84817.46+3533+200-380</f>
        <v>88170.46</v>
      </c>
      <c r="H508" s="32">
        <v>88170.46</v>
      </c>
      <c r="I508" s="32">
        <v>86169.46</v>
      </c>
      <c r="J508" s="224">
        <v>3533</v>
      </c>
      <c r="K508" s="224"/>
      <c r="L508" s="224"/>
      <c r="M508" s="226"/>
      <c r="N508" s="226"/>
      <c r="O508" s="226"/>
      <c r="P508" s="225">
        <f t="shared" si="211"/>
        <v>97.730532425485819</v>
      </c>
    </row>
    <row r="509" spans="1:16" ht="45" x14ac:dyDescent="0.25">
      <c r="A509" s="198">
        <v>497</v>
      </c>
      <c r="B509" s="203" t="s">
        <v>398</v>
      </c>
      <c r="C509" s="195" t="s">
        <v>170</v>
      </c>
      <c r="D509" s="195" t="s">
        <v>119</v>
      </c>
      <c r="E509" s="195" t="s">
        <v>368</v>
      </c>
      <c r="F509" s="198"/>
      <c r="G509" s="32">
        <f>G510</f>
        <v>3619.64</v>
      </c>
      <c r="H509" s="32">
        <f t="shared" ref="H509:I509" si="239">H510</f>
        <v>3619.64</v>
      </c>
      <c r="I509" s="32">
        <f t="shared" si="239"/>
        <v>3619.64</v>
      </c>
      <c r="J509" s="224"/>
      <c r="K509" s="224"/>
      <c r="L509" s="224"/>
      <c r="M509" s="226"/>
      <c r="N509" s="226"/>
      <c r="O509" s="226"/>
      <c r="P509" s="225">
        <f t="shared" si="211"/>
        <v>100</v>
      </c>
    </row>
    <row r="510" spans="1:16" ht="30" x14ac:dyDescent="0.25">
      <c r="A510" s="198">
        <v>498</v>
      </c>
      <c r="B510" s="208" t="s">
        <v>51</v>
      </c>
      <c r="C510" s="195" t="s">
        <v>170</v>
      </c>
      <c r="D510" s="195" t="s">
        <v>119</v>
      </c>
      <c r="E510" s="195" t="s">
        <v>368</v>
      </c>
      <c r="F510" s="198">
        <v>600</v>
      </c>
      <c r="G510" s="32">
        <f>G511</f>
        <v>3619.64</v>
      </c>
      <c r="H510" s="32">
        <f t="shared" ref="H510:I510" si="240">H511</f>
        <v>3619.64</v>
      </c>
      <c r="I510" s="32">
        <f t="shared" si="240"/>
        <v>3619.64</v>
      </c>
      <c r="J510" s="224"/>
      <c r="K510" s="224"/>
      <c r="L510" s="224"/>
      <c r="M510" s="226"/>
      <c r="N510" s="226"/>
      <c r="O510" s="226"/>
      <c r="P510" s="225">
        <f t="shared" si="211"/>
        <v>100</v>
      </c>
    </row>
    <row r="511" spans="1:16" x14ac:dyDescent="0.25">
      <c r="A511" s="198">
        <v>499</v>
      </c>
      <c r="B511" s="208" t="s">
        <v>69</v>
      </c>
      <c r="C511" s="195" t="s">
        <v>170</v>
      </c>
      <c r="D511" s="195" t="s">
        <v>119</v>
      </c>
      <c r="E511" s="195" t="s">
        <v>368</v>
      </c>
      <c r="F511" s="198">
        <v>610</v>
      </c>
      <c r="G511" s="32">
        <f>2599.64+1020</f>
        <v>3619.64</v>
      </c>
      <c r="H511" s="32">
        <v>3619.64</v>
      </c>
      <c r="I511" s="32">
        <v>3619.64</v>
      </c>
      <c r="J511" s="224"/>
      <c r="K511" s="224"/>
      <c r="L511" s="224"/>
      <c r="M511" s="226"/>
      <c r="N511" s="226"/>
      <c r="O511" s="226"/>
      <c r="P511" s="225">
        <f t="shared" si="211"/>
        <v>100</v>
      </c>
    </row>
    <row r="512" spans="1:16" ht="112.5" customHeight="1" x14ac:dyDescent="0.25">
      <c r="A512" s="198">
        <v>500</v>
      </c>
      <c r="B512" s="201" t="s">
        <v>358</v>
      </c>
      <c r="C512" s="195">
        <v>951</v>
      </c>
      <c r="D512" s="195" t="s">
        <v>119</v>
      </c>
      <c r="E512" s="195" t="s">
        <v>201</v>
      </c>
      <c r="F512" s="198"/>
      <c r="G512" s="32">
        <f>G513</f>
        <v>39062.409999999996</v>
      </c>
      <c r="H512" s="32">
        <f t="shared" ref="H512:I512" si="241">H513</f>
        <v>39062.410000000003</v>
      </c>
      <c r="I512" s="32">
        <f t="shared" si="241"/>
        <v>39062.410000000003</v>
      </c>
      <c r="J512" s="224"/>
      <c r="K512" s="224"/>
      <c r="L512" s="224"/>
      <c r="M512" s="226"/>
      <c r="N512" s="226"/>
      <c r="O512" s="226"/>
      <c r="P512" s="225">
        <f t="shared" si="211"/>
        <v>100</v>
      </c>
    </row>
    <row r="513" spans="1:16" ht="30" x14ac:dyDescent="0.25">
      <c r="A513" s="198">
        <v>501</v>
      </c>
      <c r="B513" s="208" t="s">
        <v>51</v>
      </c>
      <c r="C513" s="195">
        <v>951</v>
      </c>
      <c r="D513" s="195" t="s">
        <v>119</v>
      </c>
      <c r="E513" s="195" t="s">
        <v>201</v>
      </c>
      <c r="F513" s="198">
        <v>600</v>
      </c>
      <c r="G513" s="32">
        <f>G514</f>
        <v>39062.409999999996</v>
      </c>
      <c r="H513" s="32">
        <f t="shared" ref="H513:I513" si="242">H514</f>
        <v>39062.410000000003</v>
      </c>
      <c r="I513" s="32">
        <f t="shared" si="242"/>
        <v>39062.410000000003</v>
      </c>
      <c r="J513" s="224"/>
      <c r="K513" s="224"/>
      <c r="L513" s="224"/>
      <c r="M513" s="226"/>
      <c r="N513" s="226"/>
      <c r="O513" s="226"/>
      <c r="P513" s="225">
        <f t="shared" si="211"/>
        <v>100</v>
      </c>
    </row>
    <row r="514" spans="1:16" x14ac:dyDescent="0.25">
      <c r="A514" s="198">
        <v>502</v>
      </c>
      <c r="B514" s="208" t="s">
        <v>69</v>
      </c>
      <c r="C514" s="195">
        <v>951</v>
      </c>
      <c r="D514" s="195" t="s">
        <v>119</v>
      </c>
      <c r="E514" s="195" t="s">
        <v>201</v>
      </c>
      <c r="F514" s="198">
        <v>610</v>
      </c>
      <c r="G514" s="32">
        <f>36554.6+2055.17+452.64</f>
        <v>39062.409999999996</v>
      </c>
      <c r="H514" s="32">
        <v>39062.410000000003</v>
      </c>
      <c r="I514" s="32">
        <v>39062.410000000003</v>
      </c>
      <c r="J514" s="224">
        <v>2055.17</v>
      </c>
      <c r="K514" s="224">
        <v>1560.2</v>
      </c>
      <c r="L514" s="224">
        <v>1560.2</v>
      </c>
      <c r="M514" s="226"/>
      <c r="N514" s="226"/>
      <c r="O514" s="226"/>
      <c r="P514" s="225">
        <f t="shared" si="211"/>
        <v>100</v>
      </c>
    </row>
    <row r="515" spans="1:16" ht="105" x14ac:dyDescent="0.25">
      <c r="A515" s="198">
        <v>503</v>
      </c>
      <c r="B515" s="201" t="s">
        <v>359</v>
      </c>
      <c r="C515" s="195">
        <v>951</v>
      </c>
      <c r="D515" s="195" t="s">
        <v>119</v>
      </c>
      <c r="E515" s="195" t="s">
        <v>202</v>
      </c>
      <c r="F515" s="198"/>
      <c r="G515" s="32">
        <f>G516</f>
        <v>55382.85</v>
      </c>
      <c r="H515" s="32">
        <f t="shared" ref="H515:I515" si="243">H516</f>
        <v>55382.85</v>
      </c>
      <c r="I515" s="32">
        <f t="shared" si="243"/>
        <v>55382.78</v>
      </c>
      <c r="J515" s="224"/>
      <c r="K515" s="224"/>
      <c r="L515" s="224"/>
      <c r="M515" s="226"/>
      <c r="N515" s="226"/>
      <c r="O515" s="226"/>
      <c r="P515" s="225">
        <f t="shared" si="211"/>
        <v>99.999873607082336</v>
      </c>
    </row>
    <row r="516" spans="1:16" ht="30" x14ac:dyDescent="0.25">
      <c r="A516" s="198">
        <v>504</v>
      </c>
      <c r="B516" s="208" t="s">
        <v>51</v>
      </c>
      <c r="C516" s="195">
        <v>951</v>
      </c>
      <c r="D516" s="195" t="s">
        <v>119</v>
      </c>
      <c r="E516" s="195" t="s">
        <v>202</v>
      </c>
      <c r="F516" s="198">
        <v>600</v>
      </c>
      <c r="G516" s="32">
        <f>G517</f>
        <v>55382.85</v>
      </c>
      <c r="H516" s="32">
        <f t="shared" ref="H516:I516" si="244">H517</f>
        <v>55382.85</v>
      </c>
      <c r="I516" s="32">
        <f t="shared" si="244"/>
        <v>55382.78</v>
      </c>
      <c r="J516" s="224"/>
      <c r="K516" s="224"/>
      <c r="L516" s="224"/>
      <c r="M516" s="226"/>
      <c r="N516" s="226"/>
      <c r="O516" s="226"/>
      <c r="P516" s="225">
        <f t="shared" si="211"/>
        <v>99.999873607082336</v>
      </c>
    </row>
    <row r="517" spans="1:16" x14ac:dyDescent="0.25">
      <c r="A517" s="198">
        <v>505</v>
      </c>
      <c r="B517" s="208" t="s">
        <v>69</v>
      </c>
      <c r="C517" s="195">
        <v>951</v>
      </c>
      <c r="D517" s="195" t="s">
        <v>119</v>
      </c>
      <c r="E517" s="195" t="s">
        <v>202</v>
      </c>
      <c r="F517" s="198">
        <v>610</v>
      </c>
      <c r="G517" s="32">
        <f>53628.7+51.15+1703</f>
        <v>55382.85</v>
      </c>
      <c r="H517" s="32">
        <v>55382.85</v>
      </c>
      <c r="I517" s="32">
        <v>55382.78</v>
      </c>
      <c r="J517" s="224">
        <v>51.15</v>
      </c>
      <c r="K517" s="224"/>
      <c r="L517" s="224"/>
      <c r="M517" s="226"/>
      <c r="N517" s="226"/>
      <c r="O517" s="226"/>
      <c r="P517" s="225">
        <f t="shared" si="211"/>
        <v>99.999873607082336</v>
      </c>
    </row>
    <row r="518" spans="1:16" ht="105" x14ac:dyDescent="0.25">
      <c r="A518" s="198">
        <v>506</v>
      </c>
      <c r="B518" s="202" t="s">
        <v>360</v>
      </c>
      <c r="C518" s="195">
        <v>951</v>
      </c>
      <c r="D518" s="195" t="s">
        <v>119</v>
      </c>
      <c r="E518" s="195" t="s">
        <v>203</v>
      </c>
      <c r="F518" s="198"/>
      <c r="G518" s="32">
        <f>G519</f>
        <v>288</v>
      </c>
      <c r="H518" s="32">
        <f t="shared" ref="H518:I518" si="245">H519</f>
        <v>288</v>
      </c>
      <c r="I518" s="32">
        <f t="shared" si="245"/>
        <v>288</v>
      </c>
      <c r="J518" s="224"/>
      <c r="K518" s="224"/>
      <c r="L518" s="224"/>
      <c r="M518" s="226"/>
      <c r="N518" s="226"/>
      <c r="O518" s="226"/>
      <c r="P518" s="225">
        <f t="shared" si="211"/>
        <v>100</v>
      </c>
    </row>
    <row r="519" spans="1:16" ht="30" x14ac:dyDescent="0.25">
      <c r="A519" s="198">
        <v>507</v>
      </c>
      <c r="B519" s="208" t="s">
        <v>51</v>
      </c>
      <c r="C519" s="195">
        <v>951</v>
      </c>
      <c r="D519" s="195" t="s">
        <v>119</v>
      </c>
      <c r="E519" s="195" t="s">
        <v>203</v>
      </c>
      <c r="F519" s="198">
        <v>600</v>
      </c>
      <c r="G519" s="32">
        <f>G520</f>
        <v>288</v>
      </c>
      <c r="H519" s="32">
        <f t="shared" ref="H519:I519" si="246">H520</f>
        <v>288</v>
      </c>
      <c r="I519" s="32">
        <f t="shared" si="246"/>
        <v>288</v>
      </c>
      <c r="J519" s="224"/>
      <c r="K519" s="224"/>
      <c r="L519" s="224"/>
      <c r="M519" s="226"/>
      <c r="N519" s="226"/>
      <c r="O519" s="226"/>
      <c r="P519" s="225">
        <f t="shared" si="211"/>
        <v>100</v>
      </c>
    </row>
    <row r="520" spans="1:16" x14ac:dyDescent="0.25">
      <c r="A520" s="198">
        <v>508</v>
      </c>
      <c r="B520" s="208" t="s">
        <v>69</v>
      </c>
      <c r="C520" s="195">
        <v>951</v>
      </c>
      <c r="D520" s="195" t="s">
        <v>119</v>
      </c>
      <c r="E520" s="195" t="s">
        <v>203</v>
      </c>
      <c r="F520" s="198">
        <v>610</v>
      </c>
      <c r="G520" s="32">
        <v>288</v>
      </c>
      <c r="H520" s="32">
        <v>288</v>
      </c>
      <c r="I520" s="32">
        <v>288</v>
      </c>
      <c r="J520" s="224"/>
      <c r="K520" s="224"/>
      <c r="L520" s="224"/>
      <c r="M520" s="226"/>
      <c r="N520" s="226"/>
      <c r="O520" s="226"/>
      <c r="P520" s="225">
        <f t="shared" si="211"/>
        <v>100</v>
      </c>
    </row>
    <row r="521" spans="1:16" ht="45" x14ac:dyDescent="0.25">
      <c r="A521" s="198">
        <v>509</v>
      </c>
      <c r="B521" s="203" t="s">
        <v>586</v>
      </c>
      <c r="C521" s="195" t="s">
        <v>170</v>
      </c>
      <c r="D521" s="195" t="s">
        <v>119</v>
      </c>
      <c r="E521" s="195" t="s">
        <v>581</v>
      </c>
      <c r="F521" s="198"/>
      <c r="G521" s="32">
        <v>0</v>
      </c>
      <c r="H521" s="32">
        <f>H522</f>
        <v>1300</v>
      </c>
      <c r="I521" s="32">
        <f>I522</f>
        <v>0</v>
      </c>
      <c r="J521" s="224"/>
      <c r="K521" s="224"/>
      <c r="L521" s="224"/>
      <c r="M521" s="226"/>
      <c r="N521" s="226"/>
      <c r="O521" s="226"/>
      <c r="P521" s="225">
        <f t="shared" si="211"/>
        <v>0</v>
      </c>
    </row>
    <row r="522" spans="1:16" ht="30" x14ac:dyDescent="0.25">
      <c r="A522" s="198">
        <v>510</v>
      </c>
      <c r="B522" s="208" t="s">
        <v>51</v>
      </c>
      <c r="C522" s="195" t="s">
        <v>170</v>
      </c>
      <c r="D522" s="195" t="s">
        <v>119</v>
      </c>
      <c r="E522" s="195" t="s">
        <v>581</v>
      </c>
      <c r="F522" s="198">
        <v>600</v>
      </c>
      <c r="G522" s="32">
        <v>0</v>
      </c>
      <c r="H522" s="32">
        <f>H523</f>
        <v>1300</v>
      </c>
      <c r="I522" s="32">
        <f>I523</f>
        <v>0</v>
      </c>
      <c r="J522" s="224"/>
      <c r="K522" s="224"/>
      <c r="L522" s="224"/>
      <c r="M522" s="226"/>
      <c r="N522" s="226"/>
      <c r="O522" s="226"/>
      <c r="P522" s="225">
        <f t="shared" si="211"/>
        <v>0</v>
      </c>
    </row>
    <row r="523" spans="1:16" x14ac:dyDescent="0.25">
      <c r="A523" s="198">
        <v>511</v>
      </c>
      <c r="B523" s="208" t="s">
        <v>69</v>
      </c>
      <c r="C523" s="195" t="s">
        <v>170</v>
      </c>
      <c r="D523" s="195" t="s">
        <v>119</v>
      </c>
      <c r="E523" s="195" t="s">
        <v>581</v>
      </c>
      <c r="F523" s="198">
        <v>610</v>
      </c>
      <c r="G523" s="32">
        <v>0</v>
      </c>
      <c r="H523" s="32">
        <v>1300</v>
      </c>
      <c r="I523" s="32">
        <v>0</v>
      </c>
      <c r="J523" s="224"/>
      <c r="K523" s="224"/>
      <c r="L523" s="224"/>
      <c r="M523" s="226"/>
      <c r="N523" s="226"/>
      <c r="O523" s="226"/>
      <c r="P523" s="225">
        <f t="shared" si="211"/>
        <v>0</v>
      </c>
    </row>
    <row r="524" spans="1:16" x14ac:dyDescent="0.25">
      <c r="A524" s="198">
        <v>512</v>
      </c>
      <c r="B524" s="208" t="s">
        <v>460</v>
      </c>
      <c r="C524" s="195" t="s">
        <v>170</v>
      </c>
      <c r="D524" s="195" t="s">
        <v>119</v>
      </c>
      <c r="E524" s="195" t="s">
        <v>459</v>
      </c>
      <c r="F524" s="198"/>
      <c r="G524" s="32">
        <f>G525</f>
        <v>1500</v>
      </c>
      <c r="H524" s="32">
        <f t="shared" ref="H524:I524" si="247">H525</f>
        <v>1500</v>
      </c>
      <c r="I524" s="32">
        <f t="shared" si="247"/>
        <v>1490.29</v>
      </c>
      <c r="J524" s="224"/>
      <c r="K524" s="224"/>
      <c r="L524" s="224"/>
      <c r="M524" s="226"/>
      <c r="N524" s="226"/>
      <c r="O524" s="226"/>
      <c r="P524" s="225">
        <f t="shared" si="211"/>
        <v>99.352666666666664</v>
      </c>
    </row>
    <row r="525" spans="1:16" ht="30" x14ac:dyDescent="0.25">
      <c r="A525" s="198">
        <v>513</v>
      </c>
      <c r="B525" s="208" t="s">
        <v>51</v>
      </c>
      <c r="C525" s="195" t="s">
        <v>170</v>
      </c>
      <c r="D525" s="195" t="s">
        <v>119</v>
      </c>
      <c r="E525" s="195" t="s">
        <v>459</v>
      </c>
      <c r="F525" s="198">
        <v>600</v>
      </c>
      <c r="G525" s="32">
        <f>G526</f>
        <v>1500</v>
      </c>
      <c r="H525" s="32">
        <f t="shared" ref="H525:I525" si="248">H526</f>
        <v>1500</v>
      </c>
      <c r="I525" s="32">
        <f t="shared" si="248"/>
        <v>1490.29</v>
      </c>
      <c r="J525" s="224"/>
      <c r="K525" s="224"/>
      <c r="L525" s="224"/>
      <c r="M525" s="226"/>
      <c r="N525" s="226"/>
      <c r="O525" s="226"/>
      <c r="P525" s="225">
        <f t="shared" si="211"/>
        <v>99.352666666666664</v>
      </c>
    </row>
    <row r="526" spans="1:16" x14ac:dyDescent="0.25">
      <c r="A526" s="198">
        <v>514</v>
      </c>
      <c r="B526" s="208" t="s">
        <v>69</v>
      </c>
      <c r="C526" s="195" t="s">
        <v>170</v>
      </c>
      <c r="D526" s="195" t="s">
        <v>119</v>
      </c>
      <c r="E526" s="195" t="s">
        <v>459</v>
      </c>
      <c r="F526" s="198">
        <v>610</v>
      </c>
      <c r="G526" s="32">
        <v>1500</v>
      </c>
      <c r="H526" s="32">
        <v>1500</v>
      </c>
      <c r="I526" s="32">
        <v>1490.29</v>
      </c>
      <c r="J526" s="224"/>
      <c r="K526" s="224"/>
      <c r="L526" s="224"/>
      <c r="M526" s="226"/>
      <c r="N526" s="226"/>
      <c r="O526" s="226"/>
      <c r="P526" s="225">
        <f t="shared" ref="P526:P589" si="249">I526/H526*100</f>
        <v>99.352666666666664</v>
      </c>
    </row>
    <row r="527" spans="1:16" x14ac:dyDescent="0.25">
      <c r="A527" s="198">
        <v>515</v>
      </c>
      <c r="B527" s="199" t="s">
        <v>67</v>
      </c>
      <c r="C527" s="195">
        <v>951</v>
      </c>
      <c r="D527" s="195" t="s">
        <v>120</v>
      </c>
      <c r="E527" s="198"/>
      <c r="F527" s="198"/>
      <c r="G527" s="32">
        <f>G528</f>
        <v>320631.90999999997</v>
      </c>
      <c r="H527" s="32">
        <f t="shared" ref="H527:I528" si="250">H528</f>
        <v>322732.13800000004</v>
      </c>
      <c r="I527" s="32">
        <f t="shared" si="250"/>
        <v>308700.86000000004</v>
      </c>
      <c r="J527" s="224"/>
      <c r="K527" s="224"/>
      <c r="L527" s="224"/>
      <c r="M527" s="226"/>
      <c r="N527" s="226"/>
      <c r="O527" s="226"/>
      <c r="P527" s="225">
        <f t="shared" si="249"/>
        <v>95.65234559937133</v>
      </c>
    </row>
    <row r="528" spans="1:16" ht="30" x14ac:dyDescent="0.25">
      <c r="A528" s="198">
        <v>516</v>
      </c>
      <c r="B528" s="199" t="s">
        <v>56</v>
      </c>
      <c r="C528" s="195">
        <v>951</v>
      </c>
      <c r="D528" s="195" t="s">
        <v>120</v>
      </c>
      <c r="E528" s="195" t="s">
        <v>189</v>
      </c>
      <c r="F528" s="198"/>
      <c r="G528" s="32">
        <f>G529</f>
        <v>320631.90999999997</v>
      </c>
      <c r="H528" s="32">
        <f t="shared" si="250"/>
        <v>322732.13800000004</v>
      </c>
      <c r="I528" s="32">
        <f t="shared" si="250"/>
        <v>308700.86000000004</v>
      </c>
      <c r="J528" s="224"/>
      <c r="K528" s="224"/>
      <c r="L528" s="224"/>
      <c r="M528" s="226"/>
      <c r="N528" s="226"/>
      <c r="O528" s="226"/>
      <c r="P528" s="225">
        <f t="shared" si="249"/>
        <v>95.65234559937133</v>
      </c>
    </row>
    <row r="529" spans="1:16" x14ac:dyDescent="0.25">
      <c r="A529" s="198">
        <v>517</v>
      </c>
      <c r="B529" s="199" t="s">
        <v>138</v>
      </c>
      <c r="C529" s="195">
        <v>951</v>
      </c>
      <c r="D529" s="195" t="s">
        <v>120</v>
      </c>
      <c r="E529" s="195" t="s">
        <v>204</v>
      </c>
      <c r="F529" s="198"/>
      <c r="G529" s="32">
        <f>G530+G533+G536+G539+G542+G545+G548+G554+G557+G563+G566+G560</f>
        <v>320631.90999999997</v>
      </c>
      <c r="H529" s="32">
        <f>H530+H533+H536+H539+H542+H545+H548+H554+H557+H563+H566+H560+H551</f>
        <v>322732.13800000004</v>
      </c>
      <c r="I529" s="32">
        <f t="shared" ref="I529:O529" si="251">I530+I533+I536+I539+I542+I545+I548+I554+I557+I563+I566+I560</f>
        <v>308700.86000000004</v>
      </c>
      <c r="J529" s="32">
        <f t="shared" si="251"/>
        <v>0</v>
      </c>
      <c r="K529" s="32">
        <f t="shared" si="251"/>
        <v>0</v>
      </c>
      <c r="L529" s="32">
        <f t="shared" si="251"/>
        <v>0</v>
      </c>
      <c r="M529" s="32">
        <f t="shared" si="251"/>
        <v>0</v>
      </c>
      <c r="N529" s="32">
        <f t="shared" si="251"/>
        <v>0</v>
      </c>
      <c r="O529" s="219">
        <f t="shared" si="251"/>
        <v>0</v>
      </c>
      <c r="P529" s="225">
        <f t="shared" si="249"/>
        <v>95.65234559937133</v>
      </c>
    </row>
    <row r="530" spans="1:16" ht="45" x14ac:dyDescent="0.25">
      <c r="A530" s="198">
        <v>518</v>
      </c>
      <c r="B530" s="208" t="s">
        <v>361</v>
      </c>
      <c r="C530" s="195">
        <v>951</v>
      </c>
      <c r="D530" s="195" t="s">
        <v>120</v>
      </c>
      <c r="E530" s="195" t="s">
        <v>205</v>
      </c>
      <c r="F530" s="198"/>
      <c r="G530" s="32">
        <f>G531</f>
        <v>120198.96999999999</v>
      </c>
      <c r="H530" s="32">
        <f t="shared" ref="H530:I530" si="252">H531</f>
        <v>120198.97</v>
      </c>
      <c r="I530" s="32">
        <f t="shared" si="252"/>
        <v>117411.15</v>
      </c>
      <c r="J530" s="224"/>
      <c r="K530" s="224"/>
      <c r="L530" s="224"/>
      <c r="M530" s="226"/>
      <c r="N530" s="226"/>
      <c r="O530" s="226"/>
      <c r="P530" s="225">
        <f t="shared" si="249"/>
        <v>97.68066232181522</v>
      </c>
    </row>
    <row r="531" spans="1:16" ht="30" x14ac:dyDescent="0.25">
      <c r="A531" s="198">
        <v>519</v>
      </c>
      <c r="B531" s="208" t="s">
        <v>51</v>
      </c>
      <c r="C531" s="195">
        <v>951</v>
      </c>
      <c r="D531" s="195" t="s">
        <v>120</v>
      </c>
      <c r="E531" s="195" t="s">
        <v>205</v>
      </c>
      <c r="F531" s="198">
        <v>600</v>
      </c>
      <c r="G531" s="32">
        <f>G532</f>
        <v>120198.96999999999</v>
      </c>
      <c r="H531" s="32">
        <f t="shared" ref="H531:I531" si="253">H532</f>
        <v>120198.97</v>
      </c>
      <c r="I531" s="32">
        <f t="shared" si="253"/>
        <v>117411.15</v>
      </c>
      <c r="J531" s="224"/>
      <c r="K531" s="224"/>
      <c r="L531" s="224"/>
      <c r="M531" s="226"/>
      <c r="N531" s="226"/>
      <c r="O531" s="226"/>
      <c r="P531" s="225">
        <f t="shared" si="249"/>
        <v>97.68066232181522</v>
      </c>
    </row>
    <row r="532" spans="1:16" x14ac:dyDescent="0.25">
      <c r="A532" s="198">
        <v>520</v>
      </c>
      <c r="B532" s="208" t="s">
        <v>69</v>
      </c>
      <c r="C532" s="195">
        <v>951</v>
      </c>
      <c r="D532" s="195" t="s">
        <v>120</v>
      </c>
      <c r="E532" s="195" t="s">
        <v>205</v>
      </c>
      <c r="F532" s="198">
        <v>610</v>
      </c>
      <c r="G532" s="32">
        <f>114952.18+6410+189.29-1352.5</f>
        <v>120198.96999999999</v>
      </c>
      <c r="H532" s="32">
        <v>120198.97</v>
      </c>
      <c r="I532" s="32">
        <v>117411.15</v>
      </c>
      <c r="J532" s="224">
        <v>6410</v>
      </c>
      <c r="K532" s="224"/>
      <c r="L532" s="224"/>
      <c r="M532" s="226"/>
      <c r="N532" s="226"/>
      <c r="O532" s="226"/>
      <c r="P532" s="225">
        <f t="shared" si="249"/>
        <v>97.68066232181522</v>
      </c>
    </row>
    <row r="533" spans="1:16" ht="45" x14ac:dyDescent="0.25">
      <c r="A533" s="198">
        <v>521</v>
      </c>
      <c r="B533" s="203" t="s">
        <v>398</v>
      </c>
      <c r="C533" s="195" t="s">
        <v>170</v>
      </c>
      <c r="D533" s="195" t="s">
        <v>120</v>
      </c>
      <c r="E533" s="195" t="s">
        <v>369</v>
      </c>
      <c r="F533" s="198"/>
      <c r="G533" s="32">
        <f>G534</f>
        <v>4707.46</v>
      </c>
      <c r="H533" s="32">
        <f t="shared" ref="H533:I534" si="254">H534</f>
        <v>4707.46</v>
      </c>
      <c r="I533" s="32">
        <f t="shared" si="254"/>
        <v>4707.46</v>
      </c>
      <c r="J533" s="224"/>
      <c r="K533" s="224"/>
      <c r="L533" s="224"/>
      <c r="M533" s="226"/>
      <c r="N533" s="226"/>
      <c r="O533" s="226"/>
      <c r="P533" s="225">
        <f t="shared" si="249"/>
        <v>100</v>
      </c>
    </row>
    <row r="534" spans="1:16" ht="30" x14ac:dyDescent="0.25">
      <c r="A534" s="198">
        <v>522</v>
      </c>
      <c r="B534" s="208" t="s">
        <v>51</v>
      </c>
      <c r="C534" s="195" t="s">
        <v>170</v>
      </c>
      <c r="D534" s="195" t="s">
        <v>120</v>
      </c>
      <c r="E534" s="195" t="s">
        <v>369</v>
      </c>
      <c r="F534" s="198">
        <v>600</v>
      </c>
      <c r="G534" s="32">
        <f>G535</f>
        <v>4707.46</v>
      </c>
      <c r="H534" s="32">
        <f t="shared" si="254"/>
        <v>4707.46</v>
      </c>
      <c r="I534" s="32">
        <f t="shared" si="254"/>
        <v>4707.46</v>
      </c>
      <c r="J534" s="224"/>
      <c r="K534" s="224"/>
      <c r="L534" s="224"/>
      <c r="M534" s="226"/>
      <c r="N534" s="226"/>
      <c r="O534" s="226"/>
      <c r="P534" s="225">
        <f t="shared" si="249"/>
        <v>100</v>
      </c>
    </row>
    <row r="535" spans="1:16" x14ac:dyDescent="0.25">
      <c r="A535" s="198">
        <v>523</v>
      </c>
      <c r="B535" s="208" t="s">
        <v>69</v>
      </c>
      <c r="C535" s="195" t="s">
        <v>170</v>
      </c>
      <c r="D535" s="195" t="s">
        <v>120</v>
      </c>
      <c r="E535" s="195" t="s">
        <v>369</v>
      </c>
      <c r="F535" s="198">
        <v>610</v>
      </c>
      <c r="G535" s="32">
        <f>3675.35+1032.11</f>
        <v>4707.46</v>
      </c>
      <c r="H535" s="32">
        <v>4707.46</v>
      </c>
      <c r="I535" s="32">
        <v>4707.46</v>
      </c>
      <c r="J535" s="224"/>
      <c r="K535" s="224"/>
      <c r="L535" s="224"/>
      <c r="M535" s="226"/>
      <c r="N535" s="226"/>
      <c r="O535" s="226"/>
      <c r="P535" s="225">
        <f t="shared" si="249"/>
        <v>100</v>
      </c>
    </row>
    <row r="536" spans="1:16" ht="60" x14ac:dyDescent="0.25">
      <c r="A536" s="198">
        <v>524</v>
      </c>
      <c r="B536" s="203" t="s">
        <v>533</v>
      </c>
      <c r="C536" s="195" t="s">
        <v>170</v>
      </c>
      <c r="D536" s="195" t="s">
        <v>120</v>
      </c>
      <c r="E536" s="195" t="s">
        <v>495</v>
      </c>
      <c r="F536" s="198"/>
      <c r="G536" s="32">
        <f>G537</f>
        <v>7171.4</v>
      </c>
      <c r="H536" s="32">
        <f t="shared" ref="H536:I537" si="255">H537</f>
        <v>7171.4</v>
      </c>
      <c r="I536" s="32">
        <f t="shared" si="255"/>
        <v>6447.32</v>
      </c>
      <c r="J536" s="224"/>
      <c r="K536" s="224"/>
      <c r="L536" s="224"/>
      <c r="M536" s="226"/>
      <c r="N536" s="226"/>
      <c r="O536" s="226"/>
      <c r="P536" s="225">
        <f t="shared" si="249"/>
        <v>89.903226706082492</v>
      </c>
    </row>
    <row r="537" spans="1:16" ht="30" x14ac:dyDescent="0.25">
      <c r="A537" s="198">
        <v>525</v>
      </c>
      <c r="B537" s="208" t="s">
        <v>51</v>
      </c>
      <c r="C537" s="195" t="s">
        <v>170</v>
      </c>
      <c r="D537" s="195" t="s">
        <v>120</v>
      </c>
      <c r="E537" s="195" t="s">
        <v>495</v>
      </c>
      <c r="F537" s="198">
        <v>600</v>
      </c>
      <c r="G537" s="32">
        <f>G538</f>
        <v>7171.4</v>
      </c>
      <c r="H537" s="32">
        <f t="shared" si="255"/>
        <v>7171.4</v>
      </c>
      <c r="I537" s="32">
        <f t="shared" si="255"/>
        <v>6447.32</v>
      </c>
      <c r="J537" s="224"/>
      <c r="K537" s="224"/>
      <c r="L537" s="224"/>
      <c r="M537" s="226"/>
      <c r="N537" s="226"/>
      <c r="O537" s="226"/>
      <c r="P537" s="225">
        <f t="shared" si="249"/>
        <v>89.903226706082492</v>
      </c>
    </row>
    <row r="538" spans="1:16" x14ac:dyDescent="0.25">
      <c r="A538" s="198">
        <v>526</v>
      </c>
      <c r="B538" s="208" t="s">
        <v>69</v>
      </c>
      <c r="C538" s="195" t="s">
        <v>170</v>
      </c>
      <c r="D538" s="195" t="s">
        <v>120</v>
      </c>
      <c r="E538" s="195" t="s">
        <v>495</v>
      </c>
      <c r="F538" s="198">
        <v>610</v>
      </c>
      <c r="G538" s="32">
        <v>7171.4</v>
      </c>
      <c r="H538" s="32">
        <v>7171.4</v>
      </c>
      <c r="I538" s="32">
        <v>6447.32</v>
      </c>
      <c r="J538" s="32">
        <v>7171.4</v>
      </c>
      <c r="K538" s="32">
        <v>21514.2</v>
      </c>
      <c r="L538" s="32">
        <v>21514.2</v>
      </c>
      <c r="M538" s="226"/>
      <c r="N538" s="226"/>
      <c r="O538" s="226"/>
      <c r="P538" s="225">
        <f t="shared" si="249"/>
        <v>89.903226706082492</v>
      </c>
    </row>
    <row r="539" spans="1:16" ht="75" x14ac:dyDescent="0.25">
      <c r="A539" s="198">
        <v>527</v>
      </c>
      <c r="B539" s="69" t="s">
        <v>362</v>
      </c>
      <c r="C539" s="195">
        <v>951</v>
      </c>
      <c r="D539" s="195" t="s">
        <v>120</v>
      </c>
      <c r="E539" s="195" t="s">
        <v>251</v>
      </c>
      <c r="F539" s="198"/>
      <c r="G539" s="32">
        <f>G540</f>
        <v>434.50000000000011</v>
      </c>
      <c r="H539" s="32">
        <f t="shared" ref="H539:I539" si="256">H540</f>
        <v>434.5</v>
      </c>
      <c r="I539" s="32">
        <f t="shared" si="256"/>
        <v>434.5</v>
      </c>
      <c r="J539" s="224"/>
      <c r="K539" s="224"/>
      <c r="L539" s="224"/>
      <c r="M539" s="226"/>
      <c r="N539" s="226"/>
      <c r="O539" s="226"/>
      <c r="P539" s="225">
        <f t="shared" si="249"/>
        <v>100</v>
      </c>
    </row>
    <row r="540" spans="1:16" ht="30" x14ac:dyDescent="0.25">
      <c r="A540" s="198">
        <v>528</v>
      </c>
      <c r="B540" s="208" t="s">
        <v>51</v>
      </c>
      <c r="C540" s="195">
        <v>951</v>
      </c>
      <c r="D540" s="195" t="s">
        <v>120</v>
      </c>
      <c r="E540" s="195" t="s">
        <v>251</v>
      </c>
      <c r="F540" s="198">
        <v>600</v>
      </c>
      <c r="G540" s="32">
        <f>G541</f>
        <v>434.50000000000011</v>
      </c>
      <c r="H540" s="32">
        <f t="shared" ref="H540:I540" si="257">H541</f>
        <v>434.5</v>
      </c>
      <c r="I540" s="32">
        <f t="shared" si="257"/>
        <v>434.5</v>
      </c>
      <c r="J540" s="224"/>
      <c r="K540" s="224"/>
      <c r="L540" s="224"/>
      <c r="M540" s="226"/>
      <c r="N540" s="226"/>
      <c r="O540" s="226"/>
      <c r="P540" s="225">
        <f t="shared" si="249"/>
        <v>100</v>
      </c>
    </row>
    <row r="541" spans="1:16" x14ac:dyDescent="0.25">
      <c r="A541" s="198">
        <v>529</v>
      </c>
      <c r="B541" s="208" t="s">
        <v>69</v>
      </c>
      <c r="C541" s="195">
        <v>951</v>
      </c>
      <c r="D541" s="195" t="s">
        <v>120</v>
      </c>
      <c r="E541" s="195" t="s">
        <v>251</v>
      </c>
      <c r="F541" s="198">
        <v>610</v>
      </c>
      <c r="G541" s="32">
        <f>2431.4+434.9-1675.4-756.4</f>
        <v>434.50000000000011</v>
      </c>
      <c r="H541" s="32">
        <v>434.5</v>
      </c>
      <c r="I541" s="32">
        <v>434.5</v>
      </c>
      <c r="J541" s="224">
        <v>434.9</v>
      </c>
      <c r="K541" s="224"/>
      <c r="L541" s="224"/>
      <c r="M541" s="226"/>
      <c r="N541" s="226"/>
      <c r="O541" s="226"/>
      <c r="P541" s="225">
        <f t="shared" si="249"/>
        <v>100</v>
      </c>
    </row>
    <row r="542" spans="1:16" ht="105" x14ac:dyDescent="0.25">
      <c r="A542" s="198">
        <v>530</v>
      </c>
      <c r="B542" s="201" t="s">
        <v>363</v>
      </c>
      <c r="C542" s="195">
        <v>951</v>
      </c>
      <c r="D542" s="195" t="s">
        <v>120</v>
      </c>
      <c r="E542" s="195" t="s">
        <v>206</v>
      </c>
      <c r="F542" s="198"/>
      <c r="G542" s="32">
        <f>G543</f>
        <v>34776.870000000003</v>
      </c>
      <c r="H542" s="32">
        <f t="shared" ref="H542:I543" si="258">H543</f>
        <v>34776.870000000003</v>
      </c>
      <c r="I542" s="32">
        <f t="shared" si="258"/>
        <v>34776.870000000003</v>
      </c>
      <c r="J542" s="224"/>
      <c r="K542" s="224"/>
      <c r="L542" s="224"/>
      <c r="M542" s="226"/>
      <c r="N542" s="226"/>
      <c r="O542" s="226"/>
      <c r="P542" s="225">
        <f t="shared" si="249"/>
        <v>100</v>
      </c>
    </row>
    <row r="543" spans="1:16" ht="30" x14ac:dyDescent="0.25">
      <c r="A543" s="198">
        <v>531</v>
      </c>
      <c r="B543" s="208" t="s">
        <v>51</v>
      </c>
      <c r="C543" s="195">
        <v>951</v>
      </c>
      <c r="D543" s="195" t="s">
        <v>120</v>
      </c>
      <c r="E543" s="195" t="s">
        <v>206</v>
      </c>
      <c r="F543" s="198">
        <v>600</v>
      </c>
      <c r="G543" s="32">
        <f>G544</f>
        <v>34776.870000000003</v>
      </c>
      <c r="H543" s="32">
        <f t="shared" si="258"/>
        <v>34776.870000000003</v>
      </c>
      <c r="I543" s="32">
        <f t="shared" si="258"/>
        <v>34776.870000000003</v>
      </c>
      <c r="J543" s="224"/>
      <c r="K543" s="224"/>
      <c r="L543" s="224"/>
      <c r="M543" s="226"/>
      <c r="N543" s="226"/>
      <c r="O543" s="226"/>
      <c r="P543" s="225">
        <f t="shared" si="249"/>
        <v>100</v>
      </c>
    </row>
    <row r="544" spans="1:16" x14ac:dyDescent="0.25">
      <c r="A544" s="198">
        <v>532</v>
      </c>
      <c r="B544" s="208" t="s">
        <v>69</v>
      </c>
      <c r="C544" s="195">
        <v>951</v>
      </c>
      <c r="D544" s="195" t="s">
        <v>120</v>
      </c>
      <c r="E544" s="195" t="s">
        <v>206</v>
      </c>
      <c r="F544" s="198">
        <v>610</v>
      </c>
      <c r="G544" s="32">
        <f>32132.9+2203.98+439.99</f>
        <v>34776.870000000003</v>
      </c>
      <c r="H544" s="32">
        <v>34776.870000000003</v>
      </c>
      <c r="I544" s="32">
        <v>34776.870000000003</v>
      </c>
      <c r="J544" s="224">
        <v>2203.98</v>
      </c>
      <c r="K544" s="224">
        <v>3094.2</v>
      </c>
      <c r="L544" s="224">
        <v>3094.2</v>
      </c>
      <c r="M544" s="226"/>
      <c r="N544" s="226"/>
      <c r="O544" s="226"/>
      <c r="P544" s="225">
        <f t="shared" si="249"/>
        <v>100</v>
      </c>
    </row>
    <row r="545" spans="1:16" ht="60" x14ac:dyDescent="0.25">
      <c r="A545" s="198">
        <v>533</v>
      </c>
      <c r="B545" s="203" t="s">
        <v>396</v>
      </c>
      <c r="C545" s="195" t="s">
        <v>170</v>
      </c>
      <c r="D545" s="195" t="s">
        <v>120</v>
      </c>
      <c r="E545" s="195" t="s">
        <v>397</v>
      </c>
      <c r="F545" s="198"/>
      <c r="G545" s="32">
        <f>G546</f>
        <v>1215.79</v>
      </c>
      <c r="H545" s="32">
        <f t="shared" ref="H545:I546" si="259">H546</f>
        <v>1215.79</v>
      </c>
      <c r="I545" s="32">
        <f t="shared" si="259"/>
        <v>1215.79</v>
      </c>
      <c r="J545" s="224"/>
      <c r="K545" s="224"/>
      <c r="L545" s="224"/>
      <c r="M545" s="226"/>
      <c r="N545" s="226"/>
      <c r="O545" s="226"/>
      <c r="P545" s="225">
        <f t="shared" si="249"/>
        <v>100</v>
      </c>
    </row>
    <row r="546" spans="1:16" ht="30" x14ac:dyDescent="0.25">
      <c r="A546" s="198">
        <v>534</v>
      </c>
      <c r="B546" s="208" t="s">
        <v>51</v>
      </c>
      <c r="C546" s="195" t="s">
        <v>170</v>
      </c>
      <c r="D546" s="195" t="s">
        <v>120</v>
      </c>
      <c r="E546" s="195" t="s">
        <v>397</v>
      </c>
      <c r="F546" s="198">
        <v>600</v>
      </c>
      <c r="G546" s="32">
        <f>G547</f>
        <v>1215.79</v>
      </c>
      <c r="H546" s="32">
        <f t="shared" si="259"/>
        <v>1215.79</v>
      </c>
      <c r="I546" s="32">
        <f t="shared" si="259"/>
        <v>1215.79</v>
      </c>
      <c r="J546" s="224"/>
      <c r="K546" s="224"/>
      <c r="L546" s="224"/>
      <c r="M546" s="226"/>
      <c r="N546" s="226"/>
      <c r="O546" s="226"/>
      <c r="P546" s="225">
        <f t="shared" si="249"/>
        <v>100</v>
      </c>
    </row>
    <row r="547" spans="1:16" x14ac:dyDescent="0.25">
      <c r="A547" s="198">
        <v>535</v>
      </c>
      <c r="B547" s="208" t="s">
        <v>69</v>
      </c>
      <c r="C547" s="195" t="s">
        <v>170</v>
      </c>
      <c r="D547" s="195" t="s">
        <v>120</v>
      </c>
      <c r="E547" s="195" t="s">
        <v>397</v>
      </c>
      <c r="F547" s="198">
        <v>610</v>
      </c>
      <c r="G547" s="32">
        <f>1155+57.85+2.94</f>
        <v>1215.79</v>
      </c>
      <c r="H547" s="32">
        <v>1215.79</v>
      </c>
      <c r="I547" s="32">
        <v>1215.79</v>
      </c>
      <c r="J547" s="224">
        <v>2.94</v>
      </c>
      <c r="K547" s="224"/>
      <c r="L547" s="224"/>
      <c r="M547" s="226"/>
      <c r="N547" s="226"/>
      <c r="O547" s="226"/>
      <c r="P547" s="225">
        <f t="shared" si="249"/>
        <v>100</v>
      </c>
    </row>
    <row r="548" spans="1:16" ht="105" x14ac:dyDescent="0.25">
      <c r="A548" s="198">
        <v>536</v>
      </c>
      <c r="B548" s="202" t="s">
        <v>364</v>
      </c>
      <c r="C548" s="195">
        <v>951</v>
      </c>
      <c r="D548" s="195" t="s">
        <v>120</v>
      </c>
      <c r="E548" s="195" t="s">
        <v>207</v>
      </c>
      <c r="F548" s="198"/>
      <c r="G548" s="32">
        <f>G549</f>
        <v>129868.69</v>
      </c>
      <c r="H548" s="32">
        <f t="shared" ref="H548:I549" si="260">H549</f>
        <v>129868.69</v>
      </c>
      <c r="I548" s="32">
        <f t="shared" si="260"/>
        <v>129864.81</v>
      </c>
      <c r="J548" s="224"/>
      <c r="K548" s="224"/>
      <c r="L548" s="224"/>
      <c r="M548" s="226"/>
      <c r="N548" s="226"/>
      <c r="O548" s="226"/>
      <c r="P548" s="225">
        <f t="shared" si="249"/>
        <v>99.997012366876106</v>
      </c>
    </row>
    <row r="549" spans="1:16" ht="30" x14ac:dyDescent="0.25">
      <c r="A549" s="198">
        <v>537</v>
      </c>
      <c r="B549" s="208" t="s">
        <v>51</v>
      </c>
      <c r="C549" s="195">
        <v>951</v>
      </c>
      <c r="D549" s="195" t="s">
        <v>120</v>
      </c>
      <c r="E549" s="195" t="s">
        <v>207</v>
      </c>
      <c r="F549" s="198">
        <v>600</v>
      </c>
      <c r="G549" s="32">
        <f>G550</f>
        <v>129868.69</v>
      </c>
      <c r="H549" s="32">
        <f t="shared" si="260"/>
        <v>129868.69</v>
      </c>
      <c r="I549" s="32">
        <f t="shared" si="260"/>
        <v>129864.81</v>
      </c>
      <c r="J549" s="224"/>
      <c r="K549" s="224"/>
      <c r="L549" s="224"/>
      <c r="M549" s="226"/>
      <c r="N549" s="226"/>
      <c r="O549" s="226"/>
      <c r="P549" s="225">
        <f t="shared" si="249"/>
        <v>99.997012366876106</v>
      </c>
    </row>
    <row r="550" spans="1:16" x14ac:dyDescent="0.25">
      <c r="A550" s="198">
        <v>538</v>
      </c>
      <c r="B550" s="208" t="s">
        <v>69</v>
      </c>
      <c r="C550" s="195">
        <v>951</v>
      </c>
      <c r="D550" s="195" t="s">
        <v>120</v>
      </c>
      <c r="E550" s="195" t="s">
        <v>207</v>
      </c>
      <c r="F550" s="198">
        <v>610</v>
      </c>
      <c r="G550" s="32">
        <f>131079.1-657.78-552.63</f>
        <v>129868.69</v>
      </c>
      <c r="H550" s="32">
        <v>129868.69</v>
      </c>
      <c r="I550" s="32">
        <v>129864.81</v>
      </c>
      <c r="J550" s="224">
        <v>-657.78</v>
      </c>
      <c r="K550" s="224"/>
      <c r="L550" s="224"/>
      <c r="M550" s="228"/>
      <c r="N550" s="226"/>
      <c r="O550" s="226"/>
      <c r="P550" s="225">
        <f t="shared" si="249"/>
        <v>99.997012366876106</v>
      </c>
    </row>
    <row r="551" spans="1:16" ht="45" x14ac:dyDescent="0.25">
      <c r="A551" s="198">
        <v>539</v>
      </c>
      <c r="B551" s="203" t="s">
        <v>586</v>
      </c>
      <c r="C551" s="195" t="s">
        <v>170</v>
      </c>
      <c r="D551" s="195" t="s">
        <v>120</v>
      </c>
      <c r="E551" s="195" t="s">
        <v>582</v>
      </c>
      <c r="F551" s="198"/>
      <c r="G551" s="32">
        <f>G552</f>
        <v>0</v>
      </c>
      <c r="H551" s="32">
        <f t="shared" ref="H551:I552" si="261">H552</f>
        <v>2103.2280000000001</v>
      </c>
      <c r="I551" s="32">
        <f t="shared" si="261"/>
        <v>0</v>
      </c>
      <c r="J551" s="224"/>
      <c r="K551" s="224"/>
      <c r="L551" s="224"/>
      <c r="M551" s="228"/>
      <c r="N551" s="226"/>
      <c r="O551" s="226"/>
      <c r="P551" s="225">
        <f t="shared" si="249"/>
        <v>0</v>
      </c>
    </row>
    <row r="552" spans="1:16" ht="30" x14ac:dyDescent="0.25">
      <c r="A552" s="198">
        <v>540</v>
      </c>
      <c r="B552" s="208" t="s">
        <v>51</v>
      </c>
      <c r="C552" s="195" t="s">
        <v>170</v>
      </c>
      <c r="D552" s="195" t="s">
        <v>120</v>
      </c>
      <c r="E552" s="195" t="s">
        <v>582</v>
      </c>
      <c r="F552" s="198">
        <v>600</v>
      </c>
      <c r="G552" s="32">
        <f>G553</f>
        <v>0</v>
      </c>
      <c r="H552" s="32">
        <f t="shared" si="261"/>
        <v>2103.2280000000001</v>
      </c>
      <c r="I552" s="32">
        <f t="shared" si="261"/>
        <v>0</v>
      </c>
      <c r="J552" s="224"/>
      <c r="K552" s="224"/>
      <c r="L552" s="224"/>
      <c r="M552" s="228"/>
      <c r="N552" s="226"/>
      <c r="O552" s="226"/>
      <c r="P552" s="225">
        <f t="shared" si="249"/>
        <v>0</v>
      </c>
    </row>
    <row r="553" spans="1:16" x14ac:dyDescent="0.25">
      <c r="A553" s="198">
        <v>541</v>
      </c>
      <c r="B553" s="208" t="s">
        <v>69</v>
      </c>
      <c r="C553" s="195" t="s">
        <v>170</v>
      </c>
      <c r="D553" s="195" t="s">
        <v>120</v>
      </c>
      <c r="E553" s="195" t="s">
        <v>582</v>
      </c>
      <c r="F553" s="198">
        <v>610</v>
      </c>
      <c r="G553" s="32">
        <v>0</v>
      </c>
      <c r="H553" s="32">
        <v>2103.2280000000001</v>
      </c>
      <c r="I553" s="32">
        <v>0</v>
      </c>
      <c r="J553" s="224"/>
      <c r="K553" s="224"/>
      <c r="L553" s="224"/>
      <c r="M553" s="228"/>
      <c r="N553" s="226"/>
      <c r="O553" s="226"/>
      <c r="P553" s="225">
        <f t="shared" si="249"/>
        <v>0</v>
      </c>
    </row>
    <row r="554" spans="1:16" x14ac:dyDescent="0.25">
      <c r="A554" s="198">
        <v>542</v>
      </c>
      <c r="B554" s="208" t="s">
        <v>319</v>
      </c>
      <c r="C554" s="195" t="s">
        <v>170</v>
      </c>
      <c r="D554" s="195" t="s">
        <v>120</v>
      </c>
      <c r="E554" s="195" t="s">
        <v>318</v>
      </c>
      <c r="F554" s="198"/>
      <c r="G554" s="32">
        <f>G555</f>
        <v>3599</v>
      </c>
      <c r="H554" s="32">
        <f t="shared" ref="H554:I555" si="262">H555</f>
        <v>3599</v>
      </c>
      <c r="I554" s="32">
        <f t="shared" si="262"/>
        <v>3560.71</v>
      </c>
      <c r="J554" s="224"/>
      <c r="K554" s="224"/>
      <c r="L554" s="224"/>
      <c r="M554" s="228"/>
      <c r="N554" s="226"/>
      <c r="O554" s="226"/>
      <c r="P554" s="225">
        <f t="shared" si="249"/>
        <v>98.936093359266465</v>
      </c>
    </row>
    <row r="555" spans="1:16" ht="30" x14ac:dyDescent="0.25">
      <c r="A555" s="198">
        <v>543</v>
      </c>
      <c r="B555" s="208" t="s">
        <v>51</v>
      </c>
      <c r="C555" s="195" t="s">
        <v>170</v>
      </c>
      <c r="D555" s="195" t="s">
        <v>120</v>
      </c>
      <c r="E555" s="195" t="s">
        <v>318</v>
      </c>
      <c r="F555" s="198">
        <v>600</v>
      </c>
      <c r="G555" s="32">
        <f>G556</f>
        <v>3599</v>
      </c>
      <c r="H555" s="32">
        <f t="shared" si="262"/>
        <v>3599</v>
      </c>
      <c r="I555" s="32">
        <f t="shared" si="262"/>
        <v>3560.71</v>
      </c>
      <c r="J555" s="224"/>
      <c r="K555" s="224"/>
      <c r="L555" s="224"/>
      <c r="M555" s="228"/>
      <c r="N555" s="226"/>
      <c r="O555" s="226"/>
      <c r="P555" s="225">
        <f t="shared" si="249"/>
        <v>98.936093359266465</v>
      </c>
    </row>
    <row r="556" spans="1:16" x14ac:dyDescent="0.25">
      <c r="A556" s="198">
        <v>544</v>
      </c>
      <c r="B556" s="208" t="s">
        <v>69</v>
      </c>
      <c r="C556" s="195" t="s">
        <v>170</v>
      </c>
      <c r="D556" s="195" t="s">
        <v>120</v>
      </c>
      <c r="E556" s="195" t="s">
        <v>318</v>
      </c>
      <c r="F556" s="198">
        <v>610</v>
      </c>
      <c r="G556" s="32">
        <v>3599</v>
      </c>
      <c r="H556" s="32">
        <v>3599</v>
      </c>
      <c r="I556" s="32">
        <v>3560.71</v>
      </c>
      <c r="J556" s="224"/>
      <c r="K556" s="224"/>
      <c r="L556" s="224"/>
      <c r="M556" s="228"/>
      <c r="N556" s="226"/>
      <c r="O556" s="226"/>
      <c r="P556" s="225">
        <f t="shared" si="249"/>
        <v>98.936093359266465</v>
      </c>
    </row>
    <row r="557" spans="1:16" x14ac:dyDescent="0.25">
      <c r="A557" s="198">
        <v>545</v>
      </c>
      <c r="B557" s="203" t="s">
        <v>465</v>
      </c>
      <c r="C557" s="195" t="s">
        <v>170</v>
      </c>
      <c r="D557" s="195" t="s">
        <v>120</v>
      </c>
      <c r="E557" s="195" t="s">
        <v>466</v>
      </c>
      <c r="F557" s="198"/>
      <c r="G557" s="32">
        <f>G558</f>
        <v>110</v>
      </c>
      <c r="H557" s="32">
        <f t="shared" ref="H557:I558" si="263">H558</f>
        <v>110</v>
      </c>
      <c r="I557" s="32">
        <f t="shared" si="263"/>
        <v>110</v>
      </c>
      <c r="J557" s="224"/>
      <c r="K557" s="224"/>
      <c r="L557" s="224"/>
      <c r="M557" s="228"/>
      <c r="N557" s="226"/>
      <c r="O557" s="226"/>
      <c r="P557" s="225">
        <f t="shared" si="249"/>
        <v>100</v>
      </c>
    </row>
    <row r="558" spans="1:16" ht="30" x14ac:dyDescent="0.25">
      <c r="A558" s="198">
        <v>546</v>
      </c>
      <c r="B558" s="208" t="s">
        <v>51</v>
      </c>
      <c r="C558" s="195" t="s">
        <v>170</v>
      </c>
      <c r="D558" s="195" t="s">
        <v>120</v>
      </c>
      <c r="E558" s="195" t="s">
        <v>466</v>
      </c>
      <c r="F558" s="198">
        <v>600</v>
      </c>
      <c r="G558" s="32">
        <f>G559</f>
        <v>110</v>
      </c>
      <c r="H558" s="32">
        <f t="shared" si="263"/>
        <v>110</v>
      </c>
      <c r="I558" s="32">
        <f t="shared" si="263"/>
        <v>110</v>
      </c>
      <c r="J558" s="224"/>
      <c r="K558" s="224"/>
      <c r="L558" s="224"/>
      <c r="M558" s="228"/>
      <c r="N558" s="226"/>
      <c r="O558" s="226"/>
      <c r="P558" s="225">
        <f t="shared" si="249"/>
        <v>100</v>
      </c>
    </row>
    <row r="559" spans="1:16" x14ac:dyDescent="0.25">
      <c r="A559" s="198">
        <v>547</v>
      </c>
      <c r="B559" s="208" t="s">
        <v>69</v>
      </c>
      <c r="C559" s="195" t="s">
        <v>170</v>
      </c>
      <c r="D559" s="195" t="s">
        <v>120</v>
      </c>
      <c r="E559" s="195" t="s">
        <v>466</v>
      </c>
      <c r="F559" s="198">
        <v>610</v>
      </c>
      <c r="G559" s="32">
        <f>350-240</f>
        <v>110</v>
      </c>
      <c r="H559" s="32">
        <v>110</v>
      </c>
      <c r="I559" s="32">
        <v>110</v>
      </c>
      <c r="J559" s="224"/>
      <c r="K559" s="224"/>
      <c r="L559" s="224"/>
      <c r="M559" s="228"/>
      <c r="N559" s="226"/>
      <c r="O559" s="226"/>
      <c r="P559" s="225">
        <f t="shared" si="249"/>
        <v>100</v>
      </c>
    </row>
    <row r="560" spans="1:16" ht="69.75" customHeight="1" x14ac:dyDescent="0.25">
      <c r="A560" s="198">
        <v>548</v>
      </c>
      <c r="B560" s="203" t="s">
        <v>534</v>
      </c>
      <c r="C560" s="195" t="s">
        <v>170</v>
      </c>
      <c r="D560" s="195" t="s">
        <v>120</v>
      </c>
      <c r="E560" s="195" t="s">
        <v>501</v>
      </c>
      <c r="F560" s="198"/>
      <c r="G560" s="32">
        <f>G561</f>
        <v>5183.72</v>
      </c>
      <c r="H560" s="32">
        <f t="shared" ref="H560:I561" si="264">H561</f>
        <v>5183.72</v>
      </c>
      <c r="I560" s="32">
        <f t="shared" si="264"/>
        <v>5183.72</v>
      </c>
      <c r="J560" s="224"/>
      <c r="K560" s="224"/>
      <c r="L560" s="224"/>
      <c r="M560" s="228"/>
      <c r="N560" s="226"/>
      <c r="O560" s="226"/>
      <c r="P560" s="225">
        <f t="shared" si="249"/>
        <v>100</v>
      </c>
    </row>
    <row r="561" spans="1:16" ht="30" x14ac:dyDescent="0.25">
      <c r="A561" s="198">
        <v>549</v>
      </c>
      <c r="B561" s="208" t="s">
        <v>51</v>
      </c>
      <c r="C561" s="195" t="s">
        <v>170</v>
      </c>
      <c r="D561" s="195" t="s">
        <v>120</v>
      </c>
      <c r="E561" s="195" t="s">
        <v>501</v>
      </c>
      <c r="F561" s="198">
        <v>600</v>
      </c>
      <c r="G561" s="32">
        <f>G562</f>
        <v>5183.72</v>
      </c>
      <c r="H561" s="32">
        <f t="shared" si="264"/>
        <v>5183.72</v>
      </c>
      <c r="I561" s="32">
        <f t="shared" si="264"/>
        <v>5183.72</v>
      </c>
      <c r="J561" s="224"/>
      <c r="K561" s="224"/>
      <c r="L561" s="224"/>
      <c r="M561" s="228"/>
      <c r="N561" s="226"/>
      <c r="O561" s="226"/>
      <c r="P561" s="225">
        <f t="shared" si="249"/>
        <v>100</v>
      </c>
    </row>
    <row r="562" spans="1:16" x14ac:dyDescent="0.25">
      <c r="A562" s="198">
        <v>550</v>
      </c>
      <c r="B562" s="208" t="s">
        <v>69</v>
      </c>
      <c r="C562" s="195" t="s">
        <v>170</v>
      </c>
      <c r="D562" s="195" t="s">
        <v>120</v>
      </c>
      <c r="E562" s="195" t="s">
        <v>501</v>
      </c>
      <c r="F562" s="198">
        <v>610</v>
      </c>
      <c r="G562" s="32">
        <v>5183.72</v>
      </c>
      <c r="H562" s="32">
        <v>5183.72</v>
      </c>
      <c r="I562" s="32">
        <v>5183.72</v>
      </c>
      <c r="J562" s="224">
        <v>4924.53</v>
      </c>
      <c r="K562" s="224">
        <v>259.19</v>
      </c>
      <c r="L562" s="224"/>
      <c r="M562" s="228"/>
      <c r="N562" s="226"/>
      <c r="O562" s="226"/>
      <c r="P562" s="225">
        <f t="shared" si="249"/>
        <v>100</v>
      </c>
    </row>
    <row r="563" spans="1:16" ht="60" x14ac:dyDescent="0.25">
      <c r="A563" s="198">
        <v>551</v>
      </c>
      <c r="B563" s="203" t="s">
        <v>535</v>
      </c>
      <c r="C563" s="195" t="s">
        <v>170</v>
      </c>
      <c r="D563" s="195" t="s">
        <v>120</v>
      </c>
      <c r="E563" s="195" t="s">
        <v>496</v>
      </c>
      <c r="F563" s="198"/>
      <c r="G563" s="32">
        <f>G564</f>
        <v>6939.5599999999986</v>
      </c>
      <c r="H563" s="32">
        <f t="shared" ref="H563:I564" si="265">H564</f>
        <v>6936.56</v>
      </c>
      <c r="I563" s="32">
        <f t="shared" si="265"/>
        <v>1349.14</v>
      </c>
      <c r="J563" s="224"/>
      <c r="K563" s="224"/>
      <c r="L563" s="224"/>
      <c r="M563" s="228"/>
      <c r="N563" s="226"/>
      <c r="O563" s="226"/>
      <c r="P563" s="225">
        <f t="shared" si="249"/>
        <v>19.449698409586308</v>
      </c>
    </row>
    <row r="564" spans="1:16" ht="30" x14ac:dyDescent="0.25">
      <c r="A564" s="198">
        <v>552</v>
      </c>
      <c r="B564" s="208" t="s">
        <v>51</v>
      </c>
      <c r="C564" s="195" t="s">
        <v>170</v>
      </c>
      <c r="D564" s="195" t="s">
        <v>120</v>
      </c>
      <c r="E564" s="195" t="s">
        <v>496</v>
      </c>
      <c r="F564" s="198">
        <v>600</v>
      </c>
      <c r="G564" s="32">
        <f>G565</f>
        <v>6939.5599999999986</v>
      </c>
      <c r="H564" s="32">
        <f t="shared" si="265"/>
        <v>6936.56</v>
      </c>
      <c r="I564" s="32">
        <f t="shared" si="265"/>
        <v>1349.14</v>
      </c>
      <c r="J564" s="224">
        <v>7588.7</v>
      </c>
      <c r="K564" s="224">
        <v>843.36</v>
      </c>
      <c r="L564" s="224"/>
      <c r="M564" s="228"/>
      <c r="N564" s="226"/>
      <c r="O564" s="226"/>
      <c r="P564" s="225">
        <f t="shared" si="249"/>
        <v>19.449698409586308</v>
      </c>
    </row>
    <row r="565" spans="1:16" x14ac:dyDescent="0.25">
      <c r="A565" s="198">
        <v>553</v>
      </c>
      <c r="B565" s="208" t="s">
        <v>69</v>
      </c>
      <c r="C565" s="195" t="s">
        <v>170</v>
      </c>
      <c r="D565" s="195" t="s">
        <v>120</v>
      </c>
      <c r="E565" s="195" t="s">
        <v>496</v>
      </c>
      <c r="F565" s="198">
        <v>610</v>
      </c>
      <c r="G565" s="32">
        <f>8432.06-149.29-1343.21</f>
        <v>6939.5599999999986</v>
      </c>
      <c r="H565" s="32">
        <v>6936.56</v>
      </c>
      <c r="I565" s="32">
        <v>1349.14</v>
      </c>
      <c r="J565" s="224"/>
      <c r="K565" s="224"/>
      <c r="L565" s="224"/>
      <c r="M565" s="228"/>
      <c r="N565" s="226"/>
      <c r="O565" s="226"/>
      <c r="P565" s="225">
        <f t="shared" si="249"/>
        <v>19.449698409586308</v>
      </c>
    </row>
    <row r="566" spans="1:16" ht="60" x14ac:dyDescent="0.25">
      <c r="A566" s="198">
        <v>554</v>
      </c>
      <c r="B566" s="203" t="s">
        <v>536</v>
      </c>
      <c r="C566" s="195" t="s">
        <v>170</v>
      </c>
      <c r="D566" s="195" t="s">
        <v>120</v>
      </c>
      <c r="E566" s="195" t="s">
        <v>497</v>
      </c>
      <c r="F566" s="198"/>
      <c r="G566" s="32">
        <f>G567</f>
        <v>6425.95</v>
      </c>
      <c r="H566" s="32">
        <f t="shared" ref="H566:I567" si="266">H567</f>
        <v>6425.95</v>
      </c>
      <c r="I566" s="32">
        <f t="shared" si="266"/>
        <v>3639.39</v>
      </c>
      <c r="J566" s="224"/>
      <c r="K566" s="224"/>
      <c r="L566" s="224"/>
      <c r="M566" s="228"/>
      <c r="N566" s="226"/>
      <c r="O566" s="226"/>
      <c r="P566" s="225">
        <f t="shared" si="249"/>
        <v>56.635828165485258</v>
      </c>
    </row>
    <row r="567" spans="1:16" ht="30" x14ac:dyDescent="0.25">
      <c r="A567" s="198">
        <v>555</v>
      </c>
      <c r="B567" s="208" t="s">
        <v>51</v>
      </c>
      <c r="C567" s="195" t="s">
        <v>170</v>
      </c>
      <c r="D567" s="195" t="s">
        <v>120</v>
      </c>
      <c r="E567" s="195" t="s">
        <v>497</v>
      </c>
      <c r="F567" s="198">
        <v>600</v>
      </c>
      <c r="G567" s="32">
        <f>G568</f>
        <v>6425.95</v>
      </c>
      <c r="H567" s="32">
        <f t="shared" si="266"/>
        <v>6425.95</v>
      </c>
      <c r="I567" s="32">
        <f t="shared" si="266"/>
        <v>3639.39</v>
      </c>
      <c r="J567" s="224"/>
      <c r="K567" s="224"/>
      <c r="L567" s="224"/>
      <c r="M567" s="228"/>
      <c r="N567" s="226"/>
      <c r="O567" s="226"/>
      <c r="P567" s="225">
        <f t="shared" si="249"/>
        <v>56.635828165485258</v>
      </c>
    </row>
    <row r="568" spans="1:16" x14ac:dyDescent="0.25">
      <c r="A568" s="198">
        <v>556</v>
      </c>
      <c r="B568" s="208" t="s">
        <v>69</v>
      </c>
      <c r="C568" s="195" t="s">
        <v>170</v>
      </c>
      <c r="D568" s="195" t="s">
        <v>120</v>
      </c>
      <c r="E568" s="195" t="s">
        <v>497</v>
      </c>
      <c r="F568" s="198">
        <v>610</v>
      </c>
      <c r="G568" s="32">
        <v>6425.95</v>
      </c>
      <c r="H568" s="32">
        <v>6425.95</v>
      </c>
      <c r="I568" s="32">
        <v>3639.39</v>
      </c>
      <c r="J568" s="224">
        <f>6425.95-128.6</f>
        <v>6297.3499999999995</v>
      </c>
      <c r="K568" s="224">
        <v>0</v>
      </c>
      <c r="L568" s="224">
        <v>2844.69</v>
      </c>
      <c r="M568" s="228">
        <v>128.6</v>
      </c>
      <c r="N568" s="226"/>
      <c r="O568" s="226"/>
      <c r="P568" s="225">
        <f t="shared" si="249"/>
        <v>56.635828165485258</v>
      </c>
    </row>
    <row r="569" spans="1:16" x14ac:dyDescent="0.25">
      <c r="A569" s="198">
        <v>557</v>
      </c>
      <c r="B569" s="203" t="s">
        <v>166</v>
      </c>
      <c r="C569" s="195">
        <v>951</v>
      </c>
      <c r="D569" s="195" t="s">
        <v>172</v>
      </c>
      <c r="E569" s="198"/>
      <c r="F569" s="198"/>
      <c r="G569" s="32">
        <f>G570</f>
        <v>24019.834999999995</v>
      </c>
      <c r="H569" s="32">
        <f t="shared" ref="H569:I569" si="267">H570</f>
        <v>24019.834999999995</v>
      </c>
      <c r="I569" s="32">
        <f t="shared" si="267"/>
        <v>23571.254999999994</v>
      </c>
      <c r="J569" s="224"/>
      <c r="K569" s="224"/>
      <c r="L569" s="224"/>
      <c r="M569" s="228"/>
      <c r="N569" s="226"/>
      <c r="O569" s="226"/>
      <c r="P569" s="225">
        <f t="shared" si="249"/>
        <v>98.132460110571103</v>
      </c>
    </row>
    <row r="570" spans="1:16" ht="30" x14ac:dyDescent="0.25">
      <c r="A570" s="198">
        <v>558</v>
      </c>
      <c r="B570" s="199" t="s">
        <v>56</v>
      </c>
      <c r="C570" s="195" t="s">
        <v>170</v>
      </c>
      <c r="D570" s="195" t="s">
        <v>172</v>
      </c>
      <c r="E570" s="195" t="s">
        <v>189</v>
      </c>
      <c r="F570" s="198"/>
      <c r="G570" s="32">
        <f>G571+G575</f>
        <v>24019.834999999995</v>
      </c>
      <c r="H570" s="32">
        <f>H571+H575</f>
        <v>24019.834999999995</v>
      </c>
      <c r="I570" s="32">
        <f>I571+I575</f>
        <v>23571.254999999994</v>
      </c>
      <c r="J570" s="224"/>
      <c r="K570" s="224"/>
      <c r="L570" s="224"/>
      <c r="M570" s="228"/>
      <c r="N570" s="226"/>
      <c r="O570" s="226"/>
      <c r="P570" s="225">
        <f t="shared" si="249"/>
        <v>98.132460110571103</v>
      </c>
    </row>
    <row r="571" spans="1:16" x14ac:dyDescent="0.25">
      <c r="A571" s="198">
        <v>559</v>
      </c>
      <c r="B571" s="199" t="s">
        <v>138</v>
      </c>
      <c r="C571" s="195" t="s">
        <v>170</v>
      </c>
      <c r="D571" s="195" t="s">
        <v>172</v>
      </c>
      <c r="E571" s="195" t="s">
        <v>204</v>
      </c>
      <c r="F571" s="198"/>
      <c r="G571" s="32">
        <f>G572</f>
        <v>196.19499999999999</v>
      </c>
      <c r="H571" s="32">
        <f t="shared" ref="H571:I571" si="268">H572</f>
        <v>196.19499999999999</v>
      </c>
      <c r="I571" s="32">
        <f t="shared" si="268"/>
        <v>196.19499999999999</v>
      </c>
      <c r="J571" s="224"/>
      <c r="K571" s="224"/>
      <c r="L571" s="224"/>
      <c r="M571" s="228"/>
      <c r="N571" s="226"/>
      <c r="O571" s="226"/>
      <c r="P571" s="225">
        <f t="shared" si="249"/>
        <v>100</v>
      </c>
    </row>
    <row r="572" spans="1:16" ht="105" x14ac:dyDescent="0.25">
      <c r="A572" s="198">
        <v>560</v>
      </c>
      <c r="B572" s="202" t="s">
        <v>364</v>
      </c>
      <c r="C572" s="195">
        <v>951</v>
      </c>
      <c r="D572" s="195" t="s">
        <v>172</v>
      </c>
      <c r="E572" s="195" t="s">
        <v>207</v>
      </c>
      <c r="F572" s="198"/>
      <c r="G572" s="32">
        <f>G573</f>
        <v>196.19499999999999</v>
      </c>
      <c r="H572" s="32">
        <f t="shared" ref="H572:I573" si="269">H573</f>
        <v>196.19499999999999</v>
      </c>
      <c r="I572" s="32">
        <f t="shared" si="269"/>
        <v>196.19499999999999</v>
      </c>
      <c r="J572" s="224"/>
      <c r="K572" s="224"/>
      <c r="L572" s="224"/>
      <c r="M572" s="228"/>
      <c r="N572" s="226"/>
      <c r="O572" s="226"/>
      <c r="P572" s="225">
        <f t="shared" si="249"/>
        <v>100</v>
      </c>
    </row>
    <row r="573" spans="1:16" ht="30" x14ac:dyDescent="0.25">
      <c r="A573" s="198">
        <v>561</v>
      </c>
      <c r="B573" s="208" t="s">
        <v>51</v>
      </c>
      <c r="C573" s="195">
        <v>951</v>
      </c>
      <c r="D573" s="195" t="s">
        <v>172</v>
      </c>
      <c r="E573" s="195" t="s">
        <v>207</v>
      </c>
      <c r="F573" s="198">
        <v>600</v>
      </c>
      <c r="G573" s="32">
        <f>G574</f>
        <v>196.19499999999999</v>
      </c>
      <c r="H573" s="32">
        <f t="shared" si="269"/>
        <v>196.19499999999999</v>
      </c>
      <c r="I573" s="32">
        <f t="shared" si="269"/>
        <v>196.19499999999999</v>
      </c>
      <c r="J573" s="224"/>
      <c r="K573" s="224"/>
      <c r="L573" s="224"/>
      <c r="M573" s="228"/>
      <c r="N573" s="226"/>
      <c r="O573" s="226"/>
      <c r="P573" s="225">
        <f t="shared" si="249"/>
        <v>100</v>
      </c>
    </row>
    <row r="574" spans="1:16" x14ac:dyDescent="0.25">
      <c r="A574" s="198">
        <v>562</v>
      </c>
      <c r="B574" s="208" t="s">
        <v>69</v>
      </c>
      <c r="C574" s="195">
        <v>951</v>
      </c>
      <c r="D574" s="195" t="s">
        <v>120</v>
      </c>
      <c r="E574" s="195" t="s">
        <v>207</v>
      </c>
      <c r="F574" s="198">
        <v>610</v>
      </c>
      <c r="G574" s="32">
        <f>196.195</f>
        <v>196.19499999999999</v>
      </c>
      <c r="H574" s="32">
        <f>196.195</f>
        <v>196.19499999999999</v>
      </c>
      <c r="I574" s="32">
        <f>196.195</f>
        <v>196.19499999999999</v>
      </c>
      <c r="J574" s="224"/>
      <c r="K574" s="224"/>
      <c r="L574" s="224"/>
      <c r="M574" s="228"/>
      <c r="N574" s="226"/>
      <c r="O574" s="226"/>
      <c r="P574" s="225">
        <f t="shared" si="249"/>
        <v>100</v>
      </c>
    </row>
    <row r="575" spans="1:16" x14ac:dyDescent="0.25">
      <c r="A575" s="198">
        <v>563</v>
      </c>
      <c r="B575" s="199" t="s">
        <v>139</v>
      </c>
      <c r="C575" s="195">
        <v>951</v>
      </c>
      <c r="D575" s="195" t="s">
        <v>172</v>
      </c>
      <c r="E575" s="195" t="s">
        <v>208</v>
      </c>
      <c r="F575" s="198"/>
      <c r="G575" s="32">
        <f>G576+G585+G588+G579+G582</f>
        <v>23823.639999999996</v>
      </c>
      <c r="H575" s="32">
        <f t="shared" ref="H575:I575" si="270">H576+H585+H588+H579+H582</f>
        <v>23823.639999999996</v>
      </c>
      <c r="I575" s="32">
        <f t="shared" si="270"/>
        <v>23375.059999999994</v>
      </c>
      <c r="J575" s="224"/>
      <c r="K575" s="224"/>
      <c r="L575" s="224"/>
      <c r="M575" s="226"/>
      <c r="N575" s="226"/>
      <c r="O575" s="226"/>
      <c r="P575" s="225">
        <f t="shared" si="249"/>
        <v>98.117080345404801</v>
      </c>
    </row>
    <row r="576" spans="1:16" ht="45" x14ac:dyDescent="0.25">
      <c r="A576" s="198">
        <v>564</v>
      </c>
      <c r="B576" s="208" t="s">
        <v>372</v>
      </c>
      <c r="C576" s="195">
        <v>951</v>
      </c>
      <c r="D576" s="195" t="s">
        <v>172</v>
      </c>
      <c r="E576" s="195" t="s">
        <v>209</v>
      </c>
      <c r="F576" s="198"/>
      <c r="G576" s="32">
        <f>G577</f>
        <v>22781.23</v>
      </c>
      <c r="H576" s="32">
        <f t="shared" ref="H576:I576" si="271">H577</f>
        <v>22781.23</v>
      </c>
      <c r="I576" s="32">
        <f t="shared" si="271"/>
        <v>22332.73</v>
      </c>
      <c r="J576" s="224"/>
      <c r="K576" s="224"/>
      <c r="L576" s="224"/>
      <c r="M576" s="226"/>
      <c r="N576" s="226"/>
      <c r="O576" s="226"/>
      <c r="P576" s="225">
        <f t="shared" si="249"/>
        <v>98.031273991790613</v>
      </c>
    </row>
    <row r="577" spans="1:16" ht="30" x14ac:dyDescent="0.25">
      <c r="A577" s="198">
        <v>565</v>
      </c>
      <c r="B577" s="208" t="s">
        <v>51</v>
      </c>
      <c r="C577" s="195">
        <v>951</v>
      </c>
      <c r="D577" s="195" t="s">
        <v>172</v>
      </c>
      <c r="E577" s="195" t="s">
        <v>209</v>
      </c>
      <c r="F577" s="198">
        <v>600</v>
      </c>
      <c r="G577" s="32">
        <f>G578</f>
        <v>22781.23</v>
      </c>
      <c r="H577" s="32">
        <f t="shared" ref="H577:I577" si="272">H578</f>
        <v>22781.23</v>
      </c>
      <c r="I577" s="32">
        <f t="shared" si="272"/>
        <v>22332.73</v>
      </c>
      <c r="J577" s="224"/>
      <c r="K577" s="224"/>
      <c r="L577" s="224"/>
      <c r="M577" s="226"/>
      <c r="N577" s="226"/>
      <c r="O577" s="226"/>
      <c r="P577" s="225">
        <f t="shared" si="249"/>
        <v>98.031273991790613</v>
      </c>
    </row>
    <row r="578" spans="1:16" x14ac:dyDescent="0.25">
      <c r="A578" s="198">
        <v>566</v>
      </c>
      <c r="B578" s="208" t="s">
        <v>69</v>
      </c>
      <c r="C578" s="195">
        <v>951</v>
      </c>
      <c r="D578" s="195" t="s">
        <v>172</v>
      </c>
      <c r="E578" s="195" t="s">
        <v>209</v>
      </c>
      <c r="F578" s="198">
        <v>610</v>
      </c>
      <c r="G578" s="32">
        <f>24454.42-400-1273.19</f>
        <v>22781.23</v>
      </c>
      <c r="H578" s="32">
        <v>22781.23</v>
      </c>
      <c r="I578" s="32">
        <v>22332.73</v>
      </c>
      <c r="J578" s="224"/>
      <c r="K578" s="224"/>
      <c r="L578" s="224"/>
      <c r="M578" s="226"/>
      <c r="N578" s="226"/>
      <c r="O578" s="226"/>
      <c r="P578" s="225">
        <f t="shared" si="249"/>
        <v>98.031273991790613</v>
      </c>
    </row>
    <row r="579" spans="1:16" ht="30" x14ac:dyDescent="0.25">
      <c r="A579" s="198">
        <v>567</v>
      </c>
      <c r="B579" s="208" t="s">
        <v>491</v>
      </c>
      <c r="C579" s="195" t="s">
        <v>170</v>
      </c>
      <c r="D579" s="195" t="s">
        <v>172</v>
      </c>
      <c r="E579" s="195" t="s">
        <v>498</v>
      </c>
      <c r="F579" s="198"/>
      <c r="G579" s="32">
        <f>G580</f>
        <v>327.8</v>
      </c>
      <c r="H579" s="32">
        <f t="shared" ref="H579:I580" si="273">H580</f>
        <v>327.8</v>
      </c>
      <c r="I579" s="32">
        <f t="shared" si="273"/>
        <v>327.8</v>
      </c>
      <c r="J579" s="224"/>
      <c r="K579" s="224"/>
      <c r="L579" s="224"/>
      <c r="M579" s="226"/>
      <c r="N579" s="226"/>
      <c r="O579" s="226"/>
      <c r="P579" s="225">
        <f t="shared" si="249"/>
        <v>100</v>
      </c>
    </row>
    <row r="580" spans="1:16" ht="30" x14ac:dyDescent="0.25">
      <c r="A580" s="198">
        <v>568</v>
      </c>
      <c r="B580" s="208" t="s">
        <v>51</v>
      </c>
      <c r="C580" s="195" t="s">
        <v>170</v>
      </c>
      <c r="D580" s="195" t="s">
        <v>172</v>
      </c>
      <c r="E580" s="195" t="s">
        <v>498</v>
      </c>
      <c r="F580" s="198">
        <v>600</v>
      </c>
      <c r="G580" s="32">
        <f>G581</f>
        <v>327.8</v>
      </c>
      <c r="H580" s="32">
        <f t="shared" si="273"/>
        <v>327.8</v>
      </c>
      <c r="I580" s="32">
        <f t="shared" si="273"/>
        <v>327.8</v>
      </c>
      <c r="J580" s="224"/>
      <c r="K580" s="224"/>
      <c r="L580" s="224"/>
      <c r="M580" s="226"/>
      <c r="N580" s="226"/>
      <c r="O580" s="226"/>
      <c r="P580" s="225">
        <f t="shared" si="249"/>
        <v>100</v>
      </c>
    </row>
    <row r="581" spans="1:16" x14ac:dyDescent="0.25">
      <c r="A581" s="198">
        <v>569</v>
      </c>
      <c r="B581" s="208" t="s">
        <v>69</v>
      </c>
      <c r="C581" s="195" t="s">
        <v>170</v>
      </c>
      <c r="D581" s="195" t="s">
        <v>172</v>
      </c>
      <c r="E581" s="195" t="s">
        <v>498</v>
      </c>
      <c r="F581" s="198">
        <v>610</v>
      </c>
      <c r="G581" s="32">
        <v>327.8</v>
      </c>
      <c r="H581" s="32">
        <v>327.8</v>
      </c>
      <c r="I581" s="32">
        <v>327.8</v>
      </c>
      <c r="J581" s="224">
        <v>327.8</v>
      </c>
      <c r="K581" s="224"/>
      <c r="L581" s="224"/>
      <c r="M581" s="226"/>
      <c r="N581" s="226"/>
      <c r="O581" s="226"/>
      <c r="P581" s="225">
        <f t="shared" si="249"/>
        <v>100</v>
      </c>
    </row>
    <row r="582" spans="1:16" ht="45" x14ac:dyDescent="0.25">
      <c r="A582" s="198">
        <v>570</v>
      </c>
      <c r="B582" s="203" t="s">
        <v>537</v>
      </c>
      <c r="C582" s="195" t="s">
        <v>170</v>
      </c>
      <c r="D582" s="195" t="s">
        <v>172</v>
      </c>
      <c r="E582" s="195" t="s">
        <v>499</v>
      </c>
      <c r="F582" s="198"/>
      <c r="G582" s="32">
        <f>G583</f>
        <v>60.51</v>
      </c>
      <c r="H582" s="32">
        <f t="shared" ref="H582:I582" si="274">H583</f>
        <v>60.51</v>
      </c>
      <c r="I582" s="32">
        <f t="shared" si="274"/>
        <v>60.51</v>
      </c>
      <c r="J582" s="224"/>
      <c r="K582" s="224"/>
      <c r="L582" s="224"/>
      <c r="M582" s="226"/>
      <c r="N582" s="226"/>
      <c r="O582" s="226"/>
      <c r="P582" s="225">
        <f t="shared" si="249"/>
        <v>100</v>
      </c>
    </row>
    <row r="583" spans="1:16" ht="30" x14ac:dyDescent="0.25">
      <c r="A583" s="198">
        <v>571</v>
      </c>
      <c r="B583" s="208" t="s">
        <v>51</v>
      </c>
      <c r="C583" s="195" t="s">
        <v>170</v>
      </c>
      <c r="D583" s="195" t="s">
        <v>172</v>
      </c>
      <c r="E583" s="195" t="s">
        <v>499</v>
      </c>
      <c r="F583" s="198">
        <v>600</v>
      </c>
      <c r="G583" s="32">
        <f>G584</f>
        <v>60.51</v>
      </c>
      <c r="H583" s="32">
        <f t="shared" ref="H583:I583" si="275">H584</f>
        <v>60.51</v>
      </c>
      <c r="I583" s="32">
        <f t="shared" si="275"/>
        <v>60.51</v>
      </c>
      <c r="J583" s="224"/>
      <c r="K583" s="224"/>
      <c r="L583" s="224"/>
      <c r="M583" s="226"/>
      <c r="N583" s="226"/>
      <c r="O583" s="226"/>
      <c r="P583" s="225">
        <f t="shared" si="249"/>
        <v>100</v>
      </c>
    </row>
    <row r="584" spans="1:16" x14ac:dyDescent="0.25">
      <c r="A584" s="198">
        <v>572</v>
      </c>
      <c r="B584" s="208" t="s">
        <v>69</v>
      </c>
      <c r="C584" s="195" t="s">
        <v>170</v>
      </c>
      <c r="D584" s="195" t="s">
        <v>172</v>
      </c>
      <c r="E584" s="195" t="s">
        <v>499</v>
      </c>
      <c r="F584" s="198">
        <v>610</v>
      </c>
      <c r="G584" s="32">
        <f>23.5+37.01</f>
        <v>60.51</v>
      </c>
      <c r="H584" s="32">
        <v>60.51</v>
      </c>
      <c r="I584" s="32">
        <v>60.51</v>
      </c>
      <c r="J584" s="224">
        <v>23.5</v>
      </c>
      <c r="K584" s="224"/>
      <c r="L584" s="224"/>
      <c r="M584" s="226"/>
      <c r="N584" s="226"/>
      <c r="O584" s="226"/>
      <c r="P584" s="225">
        <f t="shared" si="249"/>
        <v>100</v>
      </c>
    </row>
    <row r="585" spans="1:16" ht="45" x14ac:dyDescent="0.25">
      <c r="A585" s="198">
        <v>573</v>
      </c>
      <c r="B585" s="203" t="s">
        <v>353</v>
      </c>
      <c r="C585" s="195" t="s">
        <v>170</v>
      </c>
      <c r="D585" s="195" t="s">
        <v>172</v>
      </c>
      <c r="E585" s="195" t="s">
        <v>370</v>
      </c>
      <c r="F585" s="198"/>
      <c r="G585" s="32">
        <f>G586</f>
        <v>467.1</v>
      </c>
      <c r="H585" s="32">
        <f t="shared" ref="H585:I586" si="276">H586</f>
        <v>467.1</v>
      </c>
      <c r="I585" s="32">
        <f t="shared" si="276"/>
        <v>467.1</v>
      </c>
      <c r="J585" s="224"/>
      <c r="K585" s="224"/>
      <c r="L585" s="224"/>
      <c r="M585" s="226"/>
      <c r="N585" s="226"/>
      <c r="O585" s="226"/>
      <c r="P585" s="225">
        <f t="shared" si="249"/>
        <v>100</v>
      </c>
    </row>
    <row r="586" spans="1:16" ht="30" x14ac:dyDescent="0.25">
      <c r="A586" s="198">
        <v>574</v>
      </c>
      <c r="B586" s="208" t="s">
        <v>51</v>
      </c>
      <c r="C586" s="195" t="s">
        <v>170</v>
      </c>
      <c r="D586" s="195" t="s">
        <v>172</v>
      </c>
      <c r="E586" s="195" t="s">
        <v>370</v>
      </c>
      <c r="F586" s="198">
        <v>600</v>
      </c>
      <c r="G586" s="32">
        <f>G587</f>
        <v>467.1</v>
      </c>
      <c r="H586" s="32">
        <f t="shared" si="276"/>
        <v>467.1</v>
      </c>
      <c r="I586" s="32">
        <f t="shared" si="276"/>
        <v>467.1</v>
      </c>
      <c r="J586" s="224"/>
      <c r="K586" s="224"/>
      <c r="L586" s="224"/>
      <c r="M586" s="226"/>
      <c r="N586" s="226"/>
      <c r="O586" s="226"/>
      <c r="P586" s="225">
        <f t="shared" si="249"/>
        <v>100</v>
      </c>
    </row>
    <row r="587" spans="1:16" x14ac:dyDescent="0.25">
      <c r="A587" s="198">
        <v>575</v>
      </c>
      <c r="B587" s="208" t="s">
        <v>69</v>
      </c>
      <c r="C587" s="195" t="s">
        <v>170</v>
      </c>
      <c r="D587" s="195" t="s">
        <v>172</v>
      </c>
      <c r="E587" s="195" t="s">
        <v>370</v>
      </c>
      <c r="F587" s="198">
        <v>610</v>
      </c>
      <c r="G587" s="32">
        <v>467.1</v>
      </c>
      <c r="H587" s="32">
        <v>467.1</v>
      </c>
      <c r="I587" s="32">
        <v>467.1</v>
      </c>
      <c r="J587" s="224"/>
      <c r="K587" s="224"/>
      <c r="L587" s="224"/>
      <c r="M587" s="226"/>
      <c r="N587" s="226"/>
      <c r="O587" s="226"/>
      <c r="P587" s="225">
        <f t="shared" si="249"/>
        <v>100</v>
      </c>
    </row>
    <row r="588" spans="1:16" x14ac:dyDescent="0.25">
      <c r="A588" s="198">
        <v>576</v>
      </c>
      <c r="B588" s="208" t="s">
        <v>462</v>
      </c>
      <c r="C588" s="195" t="s">
        <v>170</v>
      </c>
      <c r="D588" s="195" t="s">
        <v>172</v>
      </c>
      <c r="E588" s="195" t="s">
        <v>461</v>
      </c>
      <c r="F588" s="198"/>
      <c r="G588" s="32">
        <f>G589</f>
        <v>187</v>
      </c>
      <c r="H588" s="32">
        <f t="shared" ref="H588:I589" si="277">H589</f>
        <v>187</v>
      </c>
      <c r="I588" s="32">
        <f t="shared" si="277"/>
        <v>186.92</v>
      </c>
      <c r="J588" s="224"/>
      <c r="K588" s="224"/>
      <c r="L588" s="224"/>
      <c r="M588" s="226"/>
      <c r="N588" s="226"/>
      <c r="O588" s="226"/>
      <c r="P588" s="225">
        <f t="shared" si="249"/>
        <v>99.957219251336895</v>
      </c>
    </row>
    <row r="589" spans="1:16" ht="30" x14ac:dyDescent="0.25">
      <c r="A589" s="198">
        <v>577</v>
      </c>
      <c r="B589" s="208" t="s">
        <v>51</v>
      </c>
      <c r="C589" s="195" t="s">
        <v>170</v>
      </c>
      <c r="D589" s="195" t="s">
        <v>172</v>
      </c>
      <c r="E589" s="195" t="s">
        <v>461</v>
      </c>
      <c r="F589" s="198">
        <v>600</v>
      </c>
      <c r="G589" s="32">
        <f>G590</f>
        <v>187</v>
      </c>
      <c r="H589" s="32">
        <f t="shared" si="277"/>
        <v>187</v>
      </c>
      <c r="I589" s="32">
        <f t="shared" si="277"/>
        <v>186.92</v>
      </c>
      <c r="J589" s="224"/>
      <c r="K589" s="224"/>
      <c r="L589" s="224"/>
      <c r="M589" s="226"/>
      <c r="N589" s="226"/>
      <c r="O589" s="226"/>
      <c r="P589" s="225">
        <f t="shared" si="249"/>
        <v>99.957219251336895</v>
      </c>
    </row>
    <row r="590" spans="1:16" x14ac:dyDescent="0.25">
      <c r="A590" s="198">
        <v>578</v>
      </c>
      <c r="B590" s="208" t="s">
        <v>69</v>
      </c>
      <c r="C590" s="195" t="s">
        <v>170</v>
      </c>
      <c r="D590" s="195" t="s">
        <v>172</v>
      </c>
      <c r="E590" s="195" t="s">
        <v>461</v>
      </c>
      <c r="F590" s="198">
        <v>610</v>
      </c>
      <c r="G590" s="32">
        <v>187</v>
      </c>
      <c r="H590" s="32">
        <v>187</v>
      </c>
      <c r="I590" s="32">
        <v>186.92</v>
      </c>
      <c r="J590" s="224"/>
      <c r="K590" s="224"/>
      <c r="L590" s="224"/>
      <c r="M590" s="226"/>
      <c r="N590" s="226"/>
      <c r="O590" s="226"/>
      <c r="P590" s="225">
        <f t="shared" ref="P590:P653" si="278">I590/H590*100</f>
        <v>99.957219251336895</v>
      </c>
    </row>
    <row r="591" spans="1:16" x14ac:dyDescent="0.25">
      <c r="A591" s="198">
        <v>579</v>
      </c>
      <c r="B591" s="208" t="s">
        <v>55</v>
      </c>
      <c r="C591" s="195">
        <v>951</v>
      </c>
      <c r="D591" s="195" t="s">
        <v>122</v>
      </c>
      <c r="E591" s="198"/>
      <c r="F591" s="198"/>
      <c r="G591" s="32">
        <f>G592</f>
        <v>20871.449999999997</v>
      </c>
      <c r="H591" s="32">
        <f t="shared" ref="H591:I591" si="279">H592</f>
        <v>20874.449999999997</v>
      </c>
      <c r="I591" s="32">
        <f t="shared" si="279"/>
        <v>20529.969999999998</v>
      </c>
      <c r="J591" s="224"/>
      <c r="K591" s="224"/>
      <c r="L591" s="224"/>
      <c r="M591" s="226"/>
      <c r="N591" s="226"/>
      <c r="O591" s="226"/>
      <c r="P591" s="225">
        <f t="shared" si="278"/>
        <v>98.349752927622049</v>
      </c>
    </row>
    <row r="592" spans="1:16" ht="30" x14ac:dyDescent="0.25">
      <c r="A592" s="198">
        <v>580</v>
      </c>
      <c r="B592" s="199" t="s">
        <v>56</v>
      </c>
      <c r="C592" s="195">
        <v>951</v>
      </c>
      <c r="D592" s="195" t="s">
        <v>122</v>
      </c>
      <c r="E592" s="195" t="s">
        <v>189</v>
      </c>
      <c r="F592" s="198"/>
      <c r="G592" s="32">
        <f>G593</f>
        <v>20871.449999999997</v>
      </c>
      <c r="H592" s="32">
        <f t="shared" ref="H592:I592" si="280">H593</f>
        <v>20874.449999999997</v>
      </c>
      <c r="I592" s="32">
        <f t="shared" si="280"/>
        <v>20529.969999999998</v>
      </c>
      <c r="J592" s="224"/>
      <c r="K592" s="224"/>
      <c r="L592" s="224"/>
      <c r="M592" s="226"/>
      <c r="N592" s="226"/>
      <c r="O592" s="226"/>
      <c r="P592" s="225">
        <f t="shared" si="278"/>
        <v>98.349752927622049</v>
      </c>
    </row>
    <row r="593" spans="1:16" x14ac:dyDescent="0.25">
      <c r="A593" s="198">
        <v>581</v>
      </c>
      <c r="B593" s="199" t="s">
        <v>57</v>
      </c>
      <c r="C593" s="195">
        <v>951</v>
      </c>
      <c r="D593" s="195" t="s">
        <v>122</v>
      </c>
      <c r="E593" s="195" t="s">
        <v>190</v>
      </c>
      <c r="F593" s="198"/>
      <c r="G593" s="32">
        <f>G594+G608+G605+G602</f>
        <v>20871.449999999997</v>
      </c>
      <c r="H593" s="32">
        <f t="shared" ref="H593:O593" si="281">H594+H608+H605+H602</f>
        <v>20874.449999999997</v>
      </c>
      <c r="I593" s="32">
        <f t="shared" si="281"/>
        <v>20529.969999999998</v>
      </c>
      <c r="J593" s="32">
        <f t="shared" si="281"/>
        <v>0</v>
      </c>
      <c r="K593" s="32">
        <f t="shared" si="281"/>
        <v>0</v>
      </c>
      <c r="L593" s="32">
        <f t="shared" si="281"/>
        <v>0</v>
      </c>
      <c r="M593" s="32">
        <f t="shared" si="281"/>
        <v>0</v>
      </c>
      <c r="N593" s="32">
        <f t="shared" si="281"/>
        <v>0</v>
      </c>
      <c r="O593" s="219">
        <f t="shared" si="281"/>
        <v>0</v>
      </c>
      <c r="P593" s="225">
        <f t="shared" si="278"/>
        <v>98.349752927622049</v>
      </c>
    </row>
    <row r="594" spans="1:16" ht="45" x14ac:dyDescent="0.25">
      <c r="A594" s="198">
        <v>582</v>
      </c>
      <c r="B594" s="199" t="s">
        <v>365</v>
      </c>
      <c r="C594" s="195">
        <v>951</v>
      </c>
      <c r="D594" s="195" t="s">
        <v>122</v>
      </c>
      <c r="E594" s="195" t="s">
        <v>210</v>
      </c>
      <c r="F594" s="198"/>
      <c r="G594" s="32">
        <f>G595+G597+G599</f>
        <v>19614.689999999999</v>
      </c>
      <c r="H594" s="32">
        <f t="shared" ref="H594:I594" si="282">H595+H597+H599</f>
        <v>19617.689999999999</v>
      </c>
      <c r="I594" s="32">
        <f t="shared" si="282"/>
        <v>19273.21</v>
      </c>
      <c r="J594" s="224"/>
      <c r="K594" s="224"/>
      <c r="L594" s="224"/>
      <c r="M594" s="226"/>
      <c r="N594" s="226"/>
      <c r="O594" s="226"/>
      <c r="P594" s="225">
        <f t="shared" si="278"/>
        <v>98.244033828651595</v>
      </c>
    </row>
    <row r="595" spans="1:16" ht="45" x14ac:dyDescent="0.25">
      <c r="A595" s="198">
        <v>583</v>
      </c>
      <c r="B595" s="208" t="s">
        <v>16</v>
      </c>
      <c r="C595" s="195">
        <v>951</v>
      </c>
      <c r="D595" s="195" t="s">
        <v>122</v>
      </c>
      <c r="E595" s="195" t="s">
        <v>210</v>
      </c>
      <c r="F595" s="198">
        <v>100</v>
      </c>
      <c r="G595" s="32">
        <f>G596</f>
        <v>15315.25</v>
      </c>
      <c r="H595" s="32">
        <f t="shared" ref="H595:I595" si="283">H596</f>
        <v>15329.85</v>
      </c>
      <c r="I595" s="32">
        <f t="shared" si="283"/>
        <v>15318.82</v>
      </c>
      <c r="J595" s="224"/>
      <c r="K595" s="224"/>
      <c r="L595" s="224"/>
      <c r="M595" s="226"/>
      <c r="N595" s="226"/>
      <c r="O595" s="226"/>
      <c r="P595" s="225">
        <f t="shared" si="278"/>
        <v>99.928048871971995</v>
      </c>
    </row>
    <row r="596" spans="1:16" x14ac:dyDescent="0.25">
      <c r="A596" s="198">
        <v>584</v>
      </c>
      <c r="B596" s="208" t="s">
        <v>65</v>
      </c>
      <c r="C596" s="195">
        <v>951</v>
      </c>
      <c r="D596" s="195" t="s">
        <v>122</v>
      </c>
      <c r="E596" s="195" t="s">
        <v>210</v>
      </c>
      <c r="F596" s="198">
        <v>110</v>
      </c>
      <c r="G596" s="32">
        <f>15705.25-390</f>
        <v>15315.25</v>
      </c>
      <c r="H596" s="32">
        <v>15329.85</v>
      </c>
      <c r="I596" s="32">
        <v>15318.82</v>
      </c>
      <c r="J596" s="224"/>
      <c r="K596" s="224"/>
      <c r="L596" s="224"/>
      <c r="M596" s="226"/>
      <c r="N596" s="226"/>
      <c r="O596" s="226"/>
      <c r="P596" s="225">
        <f t="shared" si="278"/>
        <v>99.928048871971995</v>
      </c>
    </row>
    <row r="597" spans="1:16" x14ac:dyDescent="0.25">
      <c r="A597" s="198">
        <v>585</v>
      </c>
      <c r="B597" s="208" t="s">
        <v>21</v>
      </c>
      <c r="C597" s="195">
        <v>951</v>
      </c>
      <c r="D597" s="195" t="s">
        <v>122</v>
      </c>
      <c r="E597" s="195" t="s">
        <v>210</v>
      </c>
      <c r="F597" s="198">
        <v>200</v>
      </c>
      <c r="G597" s="32">
        <f>G598</f>
        <v>2979.68</v>
      </c>
      <c r="H597" s="32">
        <f t="shared" ref="H597:I597" si="284">H598</f>
        <v>2968.08</v>
      </c>
      <c r="I597" s="32">
        <f t="shared" si="284"/>
        <v>2647.68</v>
      </c>
      <c r="J597" s="224"/>
      <c r="K597" s="224"/>
      <c r="L597" s="224"/>
      <c r="M597" s="226"/>
      <c r="N597" s="226"/>
      <c r="O597" s="226"/>
      <c r="P597" s="225">
        <f t="shared" si="278"/>
        <v>89.205142718525096</v>
      </c>
    </row>
    <row r="598" spans="1:16" x14ac:dyDescent="0.25">
      <c r="A598" s="198">
        <v>586</v>
      </c>
      <c r="B598" s="208" t="s">
        <v>22</v>
      </c>
      <c r="C598" s="195">
        <v>951</v>
      </c>
      <c r="D598" s="195" t="s">
        <v>122</v>
      </c>
      <c r="E598" s="195" t="s">
        <v>210</v>
      </c>
      <c r="F598" s="198">
        <v>240</v>
      </c>
      <c r="G598" s="32">
        <f>3011.25-31.57</f>
        <v>2979.68</v>
      </c>
      <c r="H598" s="32">
        <v>2968.08</v>
      </c>
      <c r="I598" s="32">
        <v>2647.68</v>
      </c>
      <c r="J598" s="224">
        <v>-31.57</v>
      </c>
      <c r="K598" s="224"/>
      <c r="L598" s="224"/>
      <c r="M598" s="226"/>
      <c r="N598" s="226"/>
      <c r="O598" s="226"/>
      <c r="P598" s="225">
        <f t="shared" si="278"/>
        <v>89.205142718525096</v>
      </c>
    </row>
    <row r="599" spans="1:16" x14ac:dyDescent="0.25">
      <c r="A599" s="198">
        <v>587</v>
      </c>
      <c r="B599" s="208" t="s">
        <v>33</v>
      </c>
      <c r="C599" s="195">
        <v>951</v>
      </c>
      <c r="D599" s="195" t="s">
        <v>122</v>
      </c>
      <c r="E599" s="195" t="s">
        <v>210</v>
      </c>
      <c r="F599" s="198">
        <v>800</v>
      </c>
      <c r="G599" s="32">
        <f>G600+G601</f>
        <v>1319.76</v>
      </c>
      <c r="H599" s="32">
        <f>H600+H601</f>
        <v>1319.76</v>
      </c>
      <c r="I599" s="32">
        <f>I600+I601</f>
        <v>1306.71</v>
      </c>
      <c r="J599" s="224"/>
      <c r="K599" s="224"/>
      <c r="L599" s="224"/>
      <c r="M599" s="226"/>
      <c r="N599" s="226"/>
      <c r="O599" s="226"/>
      <c r="P599" s="225">
        <f t="shared" si="278"/>
        <v>99.011183851609388</v>
      </c>
    </row>
    <row r="600" spans="1:16" x14ac:dyDescent="0.25">
      <c r="A600" s="198">
        <v>588</v>
      </c>
      <c r="B600" s="33" t="s">
        <v>39</v>
      </c>
      <c r="C600" s="195">
        <v>951</v>
      </c>
      <c r="D600" s="195" t="s">
        <v>122</v>
      </c>
      <c r="E600" s="195" t="s">
        <v>210</v>
      </c>
      <c r="F600" s="198">
        <v>830</v>
      </c>
      <c r="G600" s="32">
        <f>1+1.53</f>
        <v>2.5300000000000002</v>
      </c>
      <c r="H600" s="32">
        <v>2.5299999999999998</v>
      </c>
      <c r="I600" s="32">
        <v>2.5299999999999998</v>
      </c>
      <c r="J600" s="224"/>
      <c r="K600" s="224"/>
      <c r="L600" s="224"/>
      <c r="M600" s="226"/>
      <c r="N600" s="226"/>
      <c r="O600" s="226"/>
      <c r="P600" s="225">
        <f t="shared" si="278"/>
        <v>100</v>
      </c>
    </row>
    <row r="601" spans="1:16" x14ac:dyDescent="0.25">
      <c r="A601" s="198">
        <v>589</v>
      </c>
      <c r="B601" s="208" t="s">
        <v>82</v>
      </c>
      <c r="C601" s="195">
        <v>951</v>
      </c>
      <c r="D601" s="195" t="s">
        <v>122</v>
      </c>
      <c r="E601" s="195" t="s">
        <v>210</v>
      </c>
      <c r="F601" s="198">
        <v>850</v>
      </c>
      <c r="G601" s="32">
        <f>14+31.57-1.53+1273.19</f>
        <v>1317.23</v>
      </c>
      <c r="H601" s="32">
        <v>1317.23</v>
      </c>
      <c r="I601" s="32">
        <v>1304.18</v>
      </c>
      <c r="J601" s="224">
        <v>31.57</v>
      </c>
      <c r="K601" s="224"/>
      <c r="L601" s="224"/>
      <c r="M601" s="226"/>
      <c r="N601" s="226"/>
      <c r="O601" s="226"/>
      <c r="P601" s="225">
        <f t="shared" si="278"/>
        <v>99.009284635181402</v>
      </c>
    </row>
    <row r="602" spans="1:16" ht="30" x14ac:dyDescent="0.25">
      <c r="A602" s="198">
        <v>590</v>
      </c>
      <c r="B602" s="208" t="s">
        <v>564</v>
      </c>
      <c r="C602" s="195" t="s">
        <v>170</v>
      </c>
      <c r="D602" s="195" t="s">
        <v>122</v>
      </c>
      <c r="E602" s="195" t="s">
        <v>568</v>
      </c>
      <c r="F602" s="198"/>
      <c r="G602" s="32">
        <f>G603</f>
        <v>118.72</v>
      </c>
      <c r="H602" s="32">
        <f t="shared" ref="H602:I603" si="285">H603</f>
        <v>118.72</v>
      </c>
      <c r="I602" s="32">
        <f t="shared" si="285"/>
        <v>118.72</v>
      </c>
      <c r="J602" s="224"/>
      <c r="K602" s="224"/>
      <c r="L602" s="224"/>
      <c r="M602" s="226"/>
      <c r="N602" s="226"/>
      <c r="O602" s="226"/>
      <c r="P602" s="225">
        <f t="shared" si="278"/>
        <v>100</v>
      </c>
    </row>
    <row r="603" spans="1:16" ht="45" x14ac:dyDescent="0.25">
      <c r="A603" s="198">
        <v>591</v>
      </c>
      <c r="B603" s="208" t="s">
        <v>16</v>
      </c>
      <c r="C603" s="195" t="s">
        <v>170</v>
      </c>
      <c r="D603" s="195" t="s">
        <v>122</v>
      </c>
      <c r="E603" s="195" t="s">
        <v>568</v>
      </c>
      <c r="F603" s="198">
        <v>100</v>
      </c>
      <c r="G603" s="32">
        <f>G604</f>
        <v>118.72</v>
      </c>
      <c r="H603" s="32">
        <f t="shared" si="285"/>
        <v>118.72</v>
      </c>
      <c r="I603" s="32">
        <f t="shared" si="285"/>
        <v>118.72</v>
      </c>
      <c r="J603" s="224"/>
      <c r="K603" s="224"/>
      <c r="L603" s="224"/>
      <c r="M603" s="226"/>
      <c r="N603" s="226"/>
      <c r="O603" s="226"/>
      <c r="P603" s="225">
        <f t="shared" si="278"/>
        <v>100</v>
      </c>
    </row>
    <row r="604" spans="1:16" x14ac:dyDescent="0.25">
      <c r="A604" s="198">
        <v>592</v>
      </c>
      <c r="B604" s="208" t="s">
        <v>65</v>
      </c>
      <c r="C604" s="195" t="s">
        <v>170</v>
      </c>
      <c r="D604" s="195" t="s">
        <v>122</v>
      </c>
      <c r="E604" s="195" t="s">
        <v>568</v>
      </c>
      <c r="F604" s="198">
        <v>110</v>
      </c>
      <c r="G604" s="32">
        <v>118.72</v>
      </c>
      <c r="H604" s="32">
        <v>118.72</v>
      </c>
      <c r="I604" s="32">
        <v>118.72</v>
      </c>
      <c r="J604" s="224"/>
      <c r="K604" s="224"/>
      <c r="L604" s="224"/>
      <c r="M604" s="226"/>
      <c r="N604" s="226"/>
      <c r="O604" s="226"/>
      <c r="P604" s="225">
        <f t="shared" si="278"/>
        <v>100</v>
      </c>
    </row>
    <row r="605" spans="1:16" ht="30" x14ac:dyDescent="0.25">
      <c r="A605" s="198">
        <v>593</v>
      </c>
      <c r="B605" s="208" t="s">
        <v>491</v>
      </c>
      <c r="C605" s="195" t="s">
        <v>170</v>
      </c>
      <c r="D605" s="195" t="s">
        <v>122</v>
      </c>
      <c r="E605" s="195" t="s">
        <v>500</v>
      </c>
      <c r="F605" s="198"/>
      <c r="G605" s="32">
        <f>G606</f>
        <v>794.67</v>
      </c>
      <c r="H605" s="32">
        <f t="shared" ref="H605:I606" si="286">H606</f>
        <v>794.67</v>
      </c>
      <c r="I605" s="32">
        <f t="shared" si="286"/>
        <v>794.67</v>
      </c>
      <c r="J605" s="224"/>
      <c r="K605" s="224"/>
      <c r="L605" s="224"/>
      <c r="M605" s="226"/>
      <c r="N605" s="226"/>
      <c r="O605" s="226"/>
      <c r="P605" s="225">
        <f t="shared" si="278"/>
        <v>100</v>
      </c>
    </row>
    <row r="606" spans="1:16" ht="45" x14ac:dyDescent="0.25">
      <c r="A606" s="198">
        <v>594</v>
      </c>
      <c r="B606" s="208" t="s">
        <v>16</v>
      </c>
      <c r="C606" s="195" t="s">
        <v>170</v>
      </c>
      <c r="D606" s="195" t="s">
        <v>122</v>
      </c>
      <c r="E606" s="195" t="s">
        <v>500</v>
      </c>
      <c r="F606" s="198">
        <v>100</v>
      </c>
      <c r="G606" s="32">
        <f>G607</f>
        <v>794.67</v>
      </c>
      <c r="H606" s="32">
        <f t="shared" si="286"/>
        <v>794.67</v>
      </c>
      <c r="I606" s="32">
        <f t="shared" si="286"/>
        <v>794.67</v>
      </c>
      <c r="J606" s="224"/>
      <c r="K606" s="224"/>
      <c r="L606" s="224"/>
      <c r="M606" s="226"/>
      <c r="N606" s="226"/>
      <c r="O606" s="226"/>
      <c r="P606" s="225">
        <f t="shared" si="278"/>
        <v>100</v>
      </c>
    </row>
    <row r="607" spans="1:16" x14ac:dyDescent="0.25">
      <c r="A607" s="198">
        <v>595</v>
      </c>
      <c r="B607" s="208" t="s">
        <v>65</v>
      </c>
      <c r="C607" s="195" t="s">
        <v>170</v>
      </c>
      <c r="D607" s="195" t="s">
        <v>122</v>
      </c>
      <c r="E607" s="195" t="s">
        <v>500</v>
      </c>
      <c r="F607" s="198">
        <v>110</v>
      </c>
      <c r="G607" s="32">
        <v>794.67</v>
      </c>
      <c r="H607" s="32">
        <v>794.67</v>
      </c>
      <c r="I607" s="32">
        <v>794.67</v>
      </c>
      <c r="J607" s="224">
        <v>794.67</v>
      </c>
      <c r="K607" s="224"/>
      <c r="L607" s="224"/>
      <c r="M607" s="226"/>
      <c r="N607" s="226"/>
      <c r="O607" s="226"/>
      <c r="P607" s="225">
        <f t="shared" si="278"/>
        <v>100</v>
      </c>
    </row>
    <row r="608" spans="1:16" ht="45" x14ac:dyDescent="0.25">
      <c r="A608" s="198">
        <v>596</v>
      </c>
      <c r="B608" s="203" t="s">
        <v>398</v>
      </c>
      <c r="C608" s="195" t="s">
        <v>170</v>
      </c>
      <c r="D608" s="195" t="s">
        <v>122</v>
      </c>
      <c r="E608" s="195" t="s">
        <v>371</v>
      </c>
      <c r="F608" s="198"/>
      <c r="G608" s="32">
        <f>G609</f>
        <v>343.37</v>
      </c>
      <c r="H608" s="32">
        <f t="shared" ref="H608:I608" si="287">H609</f>
        <v>343.37</v>
      </c>
      <c r="I608" s="32">
        <f t="shared" si="287"/>
        <v>343.37</v>
      </c>
      <c r="J608" s="224"/>
      <c r="K608" s="224"/>
      <c r="L608" s="224"/>
      <c r="M608" s="226"/>
      <c r="N608" s="226"/>
      <c r="O608" s="226"/>
      <c r="P608" s="225">
        <f t="shared" si="278"/>
        <v>100</v>
      </c>
    </row>
    <row r="609" spans="1:16" ht="45" x14ac:dyDescent="0.25">
      <c r="A609" s="198">
        <v>597</v>
      </c>
      <c r="B609" s="208" t="s">
        <v>16</v>
      </c>
      <c r="C609" s="195" t="s">
        <v>170</v>
      </c>
      <c r="D609" s="195" t="s">
        <v>122</v>
      </c>
      <c r="E609" s="195" t="s">
        <v>371</v>
      </c>
      <c r="F609" s="198">
        <v>100</v>
      </c>
      <c r="G609" s="32">
        <f>G610</f>
        <v>343.37</v>
      </c>
      <c r="H609" s="32">
        <f t="shared" ref="H609:I609" si="288">H610</f>
        <v>343.37</v>
      </c>
      <c r="I609" s="32">
        <f t="shared" si="288"/>
        <v>343.37</v>
      </c>
      <c r="J609" s="224"/>
      <c r="K609" s="224"/>
      <c r="L609" s="224"/>
      <c r="M609" s="226"/>
      <c r="N609" s="226"/>
      <c r="O609" s="226"/>
      <c r="P609" s="225">
        <f t="shared" si="278"/>
        <v>100</v>
      </c>
    </row>
    <row r="610" spans="1:16" x14ac:dyDescent="0.25">
      <c r="A610" s="198">
        <v>598</v>
      </c>
      <c r="B610" s="208" t="s">
        <v>65</v>
      </c>
      <c r="C610" s="195" t="s">
        <v>170</v>
      </c>
      <c r="D610" s="195" t="s">
        <v>122</v>
      </c>
      <c r="E610" s="195" t="s">
        <v>371</v>
      </c>
      <c r="F610" s="198">
        <v>110</v>
      </c>
      <c r="G610" s="32">
        <f>143.37+200</f>
        <v>343.37</v>
      </c>
      <c r="H610" s="32">
        <v>343.37</v>
      </c>
      <c r="I610" s="32">
        <v>343.37</v>
      </c>
      <c r="J610" s="224"/>
      <c r="K610" s="224"/>
      <c r="L610" s="224"/>
      <c r="M610" s="226"/>
      <c r="N610" s="226"/>
      <c r="O610" s="226"/>
      <c r="P610" s="225">
        <f t="shared" si="278"/>
        <v>100</v>
      </c>
    </row>
    <row r="611" spans="1:16" x14ac:dyDescent="0.25">
      <c r="A611" s="198">
        <v>599</v>
      </c>
      <c r="B611" s="62" t="s">
        <v>127</v>
      </c>
      <c r="C611" s="63" t="s">
        <v>170</v>
      </c>
      <c r="D611" s="63" t="s">
        <v>128</v>
      </c>
      <c r="E611" s="70"/>
      <c r="F611" s="198"/>
      <c r="G611" s="32">
        <f>G612+G623</f>
        <v>13534.56</v>
      </c>
      <c r="H611" s="32">
        <f>H612+H623</f>
        <v>13534.56</v>
      </c>
      <c r="I611" s="32">
        <f>I612+I623</f>
        <v>11875.82</v>
      </c>
      <c r="J611" s="224"/>
      <c r="K611" s="224"/>
      <c r="L611" s="224"/>
      <c r="M611" s="226"/>
      <c r="N611" s="226"/>
      <c r="O611" s="226"/>
      <c r="P611" s="225">
        <f t="shared" si="278"/>
        <v>87.744411343996404</v>
      </c>
    </row>
    <row r="612" spans="1:16" x14ac:dyDescent="0.25">
      <c r="A612" s="198">
        <v>600</v>
      </c>
      <c r="B612" s="199" t="s">
        <v>80</v>
      </c>
      <c r="C612" s="63" t="s">
        <v>170</v>
      </c>
      <c r="D612" s="63" t="s">
        <v>130</v>
      </c>
      <c r="E612" s="70"/>
      <c r="F612" s="198"/>
      <c r="G612" s="32">
        <f t="shared" ref="G612:I618" si="289">G613</f>
        <v>12900.16</v>
      </c>
      <c r="H612" s="32">
        <f t="shared" si="289"/>
        <v>12900.16</v>
      </c>
      <c r="I612" s="32">
        <f t="shared" si="289"/>
        <v>11398.69</v>
      </c>
      <c r="J612" s="224"/>
      <c r="K612" s="224"/>
      <c r="L612" s="224"/>
      <c r="M612" s="226"/>
      <c r="N612" s="226"/>
      <c r="O612" s="226"/>
      <c r="P612" s="225">
        <f t="shared" si="278"/>
        <v>88.36084203606778</v>
      </c>
    </row>
    <row r="613" spans="1:16" ht="30" x14ac:dyDescent="0.25">
      <c r="A613" s="198">
        <v>601</v>
      </c>
      <c r="B613" s="199" t="s">
        <v>56</v>
      </c>
      <c r="C613" s="63" t="s">
        <v>170</v>
      </c>
      <c r="D613" s="63" t="s">
        <v>130</v>
      </c>
      <c r="E613" s="63" t="s">
        <v>189</v>
      </c>
      <c r="F613" s="198"/>
      <c r="G613" s="32">
        <f t="shared" si="289"/>
        <v>12900.16</v>
      </c>
      <c r="H613" s="32">
        <f t="shared" si="289"/>
        <v>12900.16</v>
      </c>
      <c r="I613" s="32">
        <f t="shared" si="289"/>
        <v>11398.69</v>
      </c>
      <c r="J613" s="224"/>
      <c r="K613" s="224"/>
      <c r="L613" s="224"/>
      <c r="M613" s="226"/>
      <c r="N613" s="226"/>
      <c r="O613" s="226"/>
      <c r="P613" s="225">
        <f t="shared" si="278"/>
        <v>88.36084203606778</v>
      </c>
    </row>
    <row r="614" spans="1:16" x14ac:dyDescent="0.25">
      <c r="A614" s="198">
        <v>602</v>
      </c>
      <c r="B614" s="199" t="s">
        <v>138</v>
      </c>
      <c r="C614" s="63">
        <v>951</v>
      </c>
      <c r="D614" s="63" t="s">
        <v>130</v>
      </c>
      <c r="E614" s="63" t="s">
        <v>204</v>
      </c>
      <c r="F614" s="198"/>
      <c r="G614" s="32">
        <f>G615+G620</f>
        <v>12900.16</v>
      </c>
      <c r="H614" s="32">
        <f t="shared" ref="H614:I614" si="290">H615+H620</f>
        <v>12900.16</v>
      </c>
      <c r="I614" s="32">
        <f t="shared" si="290"/>
        <v>11398.69</v>
      </c>
      <c r="J614" s="224"/>
      <c r="K614" s="224"/>
      <c r="L614" s="224"/>
      <c r="M614" s="226"/>
      <c r="N614" s="226"/>
      <c r="O614" s="226"/>
      <c r="P614" s="225">
        <f t="shared" si="278"/>
        <v>88.36084203606778</v>
      </c>
    </row>
    <row r="615" spans="1:16" ht="90" x14ac:dyDescent="0.25">
      <c r="A615" s="198">
        <v>603</v>
      </c>
      <c r="B615" s="201" t="s">
        <v>367</v>
      </c>
      <c r="C615" s="63">
        <v>951</v>
      </c>
      <c r="D615" s="63" t="s">
        <v>130</v>
      </c>
      <c r="E615" s="63" t="s">
        <v>212</v>
      </c>
      <c r="F615" s="198"/>
      <c r="G615" s="32">
        <f>G616+G618</f>
        <v>8054.7000000000007</v>
      </c>
      <c r="H615" s="32">
        <f t="shared" ref="H615:I615" si="291">H616+H618</f>
        <v>8054.7</v>
      </c>
      <c r="I615" s="32">
        <f t="shared" si="291"/>
        <v>7947.16</v>
      </c>
      <c r="J615" s="224"/>
      <c r="K615" s="224"/>
      <c r="L615" s="224"/>
      <c r="M615" s="226"/>
      <c r="N615" s="226"/>
      <c r="O615" s="226"/>
      <c r="P615" s="225">
        <f t="shared" si="278"/>
        <v>98.664878890585612</v>
      </c>
    </row>
    <row r="616" spans="1:16" x14ac:dyDescent="0.25">
      <c r="A616" s="198">
        <v>604</v>
      </c>
      <c r="B616" s="208" t="s">
        <v>79</v>
      </c>
      <c r="C616" s="63">
        <v>951</v>
      </c>
      <c r="D616" s="63" t="s">
        <v>130</v>
      </c>
      <c r="E616" s="63" t="s">
        <v>212</v>
      </c>
      <c r="F616" s="198">
        <v>300</v>
      </c>
      <c r="G616" s="32">
        <f>G617</f>
        <v>97</v>
      </c>
      <c r="H616" s="32">
        <f t="shared" ref="H616:I616" si="292">H617</f>
        <v>136.87</v>
      </c>
      <c r="I616" s="32">
        <f t="shared" si="292"/>
        <v>119.97</v>
      </c>
      <c r="J616" s="224"/>
      <c r="K616" s="224"/>
      <c r="L616" s="224"/>
      <c r="M616" s="226"/>
      <c r="N616" s="226"/>
      <c r="O616" s="226"/>
      <c r="P616" s="225">
        <f t="shared" si="278"/>
        <v>87.652516986921896</v>
      </c>
    </row>
    <row r="617" spans="1:16" x14ac:dyDescent="0.25">
      <c r="A617" s="198">
        <v>605</v>
      </c>
      <c r="B617" s="208" t="s">
        <v>83</v>
      </c>
      <c r="C617" s="63">
        <v>951</v>
      </c>
      <c r="D617" s="63" t="s">
        <v>130</v>
      </c>
      <c r="E617" s="63" t="s">
        <v>212</v>
      </c>
      <c r="F617" s="198">
        <v>320</v>
      </c>
      <c r="G617" s="32">
        <v>97</v>
      </c>
      <c r="H617" s="32">
        <v>136.87</v>
      </c>
      <c r="I617" s="32">
        <v>119.97</v>
      </c>
      <c r="J617" s="224"/>
      <c r="K617" s="224"/>
      <c r="L617" s="224"/>
      <c r="M617" s="226"/>
      <c r="N617" s="226"/>
      <c r="O617" s="226"/>
      <c r="P617" s="225">
        <f t="shared" si="278"/>
        <v>87.652516986921896</v>
      </c>
    </row>
    <row r="618" spans="1:16" ht="30" x14ac:dyDescent="0.25">
      <c r="A618" s="198">
        <v>606</v>
      </c>
      <c r="B618" s="208" t="s">
        <v>51</v>
      </c>
      <c r="C618" s="63">
        <v>951</v>
      </c>
      <c r="D618" s="63" t="s">
        <v>130</v>
      </c>
      <c r="E618" s="63" t="s">
        <v>212</v>
      </c>
      <c r="F618" s="198">
        <v>600</v>
      </c>
      <c r="G618" s="32">
        <f t="shared" si="289"/>
        <v>7957.7000000000007</v>
      </c>
      <c r="H618" s="32">
        <f t="shared" ref="H618:I618" si="293">H619</f>
        <v>7917.83</v>
      </c>
      <c r="I618" s="32">
        <f t="shared" si="293"/>
        <v>7827.19</v>
      </c>
      <c r="J618" s="224"/>
      <c r="K618" s="224"/>
      <c r="L618" s="224"/>
      <c r="M618" s="226"/>
      <c r="N618" s="226"/>
      <c r="O618" s="226"/>
      <c r="P618" s="225">
        <f t="shared" si="278"/>
        <v>98.855241903400298</v>
      </c>
    </row>
    <row r="619" spans="1:16" x14ac:dyDescent="0.25">
      <c r="A619" s="198">
        <v>607</v>
      </c>
      <c r="B619" s="208" t="s">
        <v>69</v>
      </c>
      <c r="C619" s="63">
        <v>951</v>
      </c>
      <c r="D619" s="63" t="s">
        <v>130</v>
      </c>
      <c r="E619" s="63" t="s">
        <v>212</v>
      </c>
      <c r="F619" s="198">
        <v>610</v>
      </c>
      <c r="G619" s="32">
        <f>9422.5-1128.8-336</f>
        <v>7957.7000000000007</v>
      </c>
      <c r="H619" s="32">
        <v>7917.83</v>
      </c>
      <c r="I619" s="32">
        <v>7827.19</v>
      </c>
      <c r="J619" s="224">
        <v>-1128.8</v>
      </c>
      <c r="K619" s="224"/>
      <c r="L619" s="224"/>
      <c r="M619" s="226"/>
      <c r="N619" s="226"/>
      <c r="O619" s="226"/>
      <c r="P619" s="225">
        <f t="shared" si="278"/>
        <v>98.855241903400298</v>
      </c>
    </row>
    <row r="620" spans="1:16" ht="90" x14ac:dyDescent="0.25">
      <c r="A620" s="198">
        <v>608</v>
      </c>
      <c r="B620" s="208" t="s">
        <v>555</v>
      </c>
      <c r="C620" s="195" t="s">
        <v>170</v>
      </c>
      <c r="D620" s="63" t="s">
        <v>130</v>
      </c>
      <c r="E620" s="195" t="s">
        <v>556</v>
      </c>
      <c r="F620" s="198"/>
      <c r="G620" s="32">
        <f>G621</f>
        <v>4845.46</v>
      </c>
      <c r="H620" s="32">
        <f t="shared" ref="H620:I620" si="294">H621</f>
        <v>4845.46</v>
      </c>
      <c r="I620" s="32">
        <f t="shared" si="294"/>
        <v>3451.53</v>
      </c>
      <c r="J620" s="224"/>
      <c r="K620" s="224"/>
      <c r="L620" s="224"/>
      <c r="M620" s="226"/>
      <c r="N620" s="226"/>
      <c r="O620" s="226"/>
      <c r="P620" s="225">
        <f t="shared" si="278"/>
        <v>71.232246267640235</v>
      </c>
    </row>
    <row r="621" spans="1:16" ht="30" x14ac:dyDescent="0.25">
      <c r="A621" s="198">
        <v>609</v>
      </c>
      <c r="B621" s="208" t="s">
        <v>51</v>
      </c>
      <c r="C621" s="195" t="s">
        <v>170</v>
      </c>
      <c r="D621" s="63" t="s">
        <v>130</v>
      </c>
      <c r="E621" s="195" t="s">
        <v>556</v>
      </c>
      <c r="F621" s="198">
        <v>600</v>
      </c>
      <c r="G621" s="32">
        <f>G622</f>
        <v>4845.46</v>
      </c>
      <c r="H621" s="32">
        <f t="shared" ref="H621:I621" si="295">H622</f>
        <v>4845.46</v>
      </c>
      <c r="I621" s="32">
        <f t="shared" si="295"/>
        <v>3451.53</v>
      </c>
      <c r="J621" s="224"/>
      <c r="K621" s="224"/>
      <c r="L621" s="224"/>
      <c r="M621" s="226"/>
      <c r="N621" s="226"/>
      <c r="O621" s="226"/>
      <c r="P621" s="225">
        <f t="shared" si="278"/>
        <v>71.232246267640235</v>
      </c>
    </row>
    <row r="622" spans="1:16" x14ac:dyDescent="0.25">
      <c r="A622" s="198">
        <v>610</v>
      </c>
      <c r="B622" s="208" t="s">
        <v>69</v>
      </c>
      <c r="C622" s="195" t="s">
        <v>170</v>
      </c>
      <c r="D622" s="63" t="s">
        <v>130</v>
      </c>
      <c r="E622" s="195" t="s">
        <v>556</v>
      </c>
      <c r="F622" s="198">
        <v>610</v>
      </c>
      <c r="G622" s="32">
        <f>4835.79+9.67</f>
        <v>4845.46</v>
      </c>
      <c r="H622" s="32">
        <v>4845.46</v>
      </c>
      <c r="I622" s="32">
        <v>3451.53</v>
      </c>
      <c r="J622" s="224"/>
      <c r="K622" s="224"/>
      <c r="L622" s="224"/>
      <c r="M622" s="226"/>
      <c r="N622" s="226"/>
      <c r="O622" s="226"/>
      <c r="P622" s="225">
        <f t="shared" si="278"/>
        <v>71.232246267640235</v>
      </c>
    </row>
    <row r="623" spans="1:16" x14ac:dyDescent="0.25">
      <c r="A623" s="198">
        <v>611</v>
      </c>
      <c r="B623" s="203" t="s">
        <v>60</v>
      </c>
      <c r="C623" s="63" t="s">
        <v>170</v>
      </c>
      <c r="D623" s="63" t="s">
        <v>171</v>
      </c>
      <c r="E623" s="63"/>
      <c r="F623" s="198"/>
      <c r="G623" s="32">
        <f>G624</f>
        <v>634.4000000000002</v>
      </c>
      <c r="H623" s="32">
        <f t="shared" ref="H623:I623" si="296">H624</f>
        <v>634.4</v>
      </c>
      <c r="I623" s="32">
        <f t="shared" si="296"/>
        <v>477.13</v>
      </c>
      <c r="J623" s="224"/>
      <c r="K623" s="224"/>
      <c r="L623" s="224"/>
      <c r="M623" s="226"/>
      <c r="N623" s="226"/>
      <c r="O623" s="226"/>
      <c r="P623" s="225">
        <f t="shared" si="278"/>
        <v>75.209646910466589</v>
      </c>
    </row>
    <row r="624" spans="1:16" ht="30" x14ac:dyDescent="0.25">
      <c r="A624" s="198">
        <v>612</v>
      </c>
      <c r="B624" s="199" t="s">
        <v>56</v>
      </c>
      <c r="C624" s="63" t="s">
        <v>170</v>
      </c>
      <c r="D624" s="63" t="s">
        <v>171</v>
      </c>
      <c r="E624" s="63" t="s">
        <v>189</v>
      </c>
      <c r="F624" s="198"/>
      <c r="G624" s="32">
        <f>G625</f>
        <v>634.4000000000002</v>
      </c>
      <c r="H624" s="32">
        <f t="shared" ref="H624:I624" si="297">H625</f>
        <v>634.4</v>
      </c>
      <c r="I624" s="32">
        <f t="shared" si="297"/>
        <v>477.13</v>
      </c>
      <c r="J624" s="224"/>
      <c r="K624" s="224"/>
      <c r="L624" s="224"/>
      <c r="M624" s="226"/>
      <c r="N624" s="226"/>
      <c r="O624" s="226"/>
      <c r="P624" s="225">
        <f t="shared" si="278"/>
        <v>75.209646910466589</v>
      </c>
    </row>
    <row r="625" spans="1:16" x14ac:dyDescent="0.25">
      <c r="A625" s="198">
        <v>613</v>
      </c>
      <c r="B625" s="199" t="s">
        <v>57</v>
      </c>
      <c r="C625" s="63" t="s">
        <v>170</v>
      </c>
      <c r="D625" s="63" t="s">
        <v>171</v>
      </c>
      <c r="E625" s="63" t="s">
        <v>190</v>
      </c>
      <c r="F625" s="198"/>
      <c r="G625" s="32">
        <f>G626</f>
        <v>634.4000000000002</v>
      </c>
      <c r="H625" s="32">
        <f t="shared" ref="H625:I625" si="298">H626</f>
        <v>634.4</v>
      </c>
      <c r="I625" s="32">
        <f t="shared" si="298"/>
        <v>477.13</v>
      </c>
      <c r="J625" s="224"/>
      <c r="K625" s="224"/>
      <c r="L625" s="224"/>
      <c r="M625" s="226"/>
      <c r="N625" s="226"/>
      <c r="O625" s="226"/>
      <c r="P625" s="225">
        <f t="shared" si="278"/>
        <v>75.209646910466589</v>
      </c>
    </row>
    <row r="626" spans="1:16" ht="75" x14ac:dyDescent="0.25">
      <c r="A626" s="198">
        <v>614</v>
      </c>
      <c r="B626" s="202" t="s">
        <v>366</v>
      </c>
      <c r="C626" s="195">
        <v>951</v>
      </c>
      <c r="D626" s="195" t="s">
        <v>171</v>
      </c>
      <c r="E626" s="195" t="s">
        <v>211</v>
      </c>
      <c r="F626" s="198"/>
      <c r="G626" s="32">
        <f>G627+G629</f>
        <v>634.4000000000002</v>
      </c>
      <c r="H626" s="32">
        <f>H627+H629</f>
        <v>634.4</v>
      </c>
      <c r="I626" s="32">
        <f>I627+I629</f>
        <v>477.13</v>
      </c>
      <c r="J626" s="224"/>
      <c r="K626" s="224"/>
      <c r="L626" s="224"/>
      <c r="M626" s="226"/>
      <c r="N626" s="226"/>
      <c r="O626" s="226"/>
      <c r="P626" s="225">
        <f t="shared" si="278"/>
        <v>75.209646910466589</v>
      </c>
    </row>
    <row r="627" spans="1:16" x14ac:dyDescent="0.25">
      <c r="A627" s="198">
        <v>615</v>
      </c>
      <c r="B627" s="208" t="s">
        <v>79</v>
      </c>
      <c r="C627" s="195">
        <v>951</v>
      </c>
      <c r="D627" s="195" t="s">
        <v>171</v>
      </c>
      <c r="E627" s="195" t="s">
        <v>211</v>
      </c>
      <c r="F627" s="198">
        <v>300</v>
      </c>
      <c r="G627" s="32">
        <f>G628</f>
        <v>603.48000000000025</v>
      </c>
      <c r="H627" s="32">
        <f t="shared" ref="H627:I627" si="299">H628</f>
        <v>603.48</v>
      </c>
      <c r="I627" s="32">
        <f t="shared" si="299"/>
        <v>477.13</v>
      </c>
      <c r="J627" s="224"/>
      <c r="K627" s="224"/>
      <c r="L627" s="224"/>
      <c r="M627" s="226"/>
      <c r="N627" s="226"/>
      <c r="O627" s="226"/>
      <c r="P627" s="225">
        <f t="shared" si="278"/>
        <v>79.06310068270696</v>
      </c>
    </row>
    <row r="628" spans="1:16" x14ac:dyDescent="0.25">
      <c r="A628" s="198">
        <v>616</v>
      </c>
      <c r="B628" s="208" t="s">
        <v>83</v>
      </c>
      <c r="C628" s="195">
        <v>951</v>
      </c>
      <c r="D628" s="195" t="s">
        <v>171</v>
      </c>
      <c r="E628" s="195" t="s">
        <v>211</v>
      </c>
      <c r="F628" s="198">
        <v>320</v>
      </c>
      <c r="G628" s="32">
        <f>3061.28-2300-157.8</f>
        <v>603.48000000000025</v>
      </c>
      <c r="H628" s="32">
        <v>603.48</v>
      </c>
      <c r="I628" s="32">
        <v>477.13</v>
      </c>
      <c r="J628" s="224"/>
      <c r="K628" s="224"/>
      <c r="L628" s="224"/>
      <c r="M628" s="226"/>
      <c r="N628" s="226"/>
      <c r="O628" s="226"/>
      <c r="P628" s="225">
        <f t="shared" si="278"/>
        <v>79.06310068270696</v>
      </c>
    </row>
    <row r="629" spans="1:16" x14ac:dyDescent="0.25">
      <c r="A629" s="198">
        <v>617</v>
      </c>
      <c r="B629" s="208" t="s">
        <v>21</v>
      </c>
      <c r="C629" s="195">
        <v>951</v>
      </c>
      <c r="D629" s="195" t="s">
        <v>171</v>
      </c>
      <c r="E629" s="195" t="s">
        <v>211</v>
      </c>
      <c r="F629" s="198">
        <v>200</v>
      </c>
      <c r="G629" s="32">
        <f>G630</f>
        <v>30.92</v>
      </c>
      <c r="H629" s="32">
        <f t="shared" ref="H629:I629" si="300">H630</f>
        <v>30.92</v>
      </c>
      <c r="I629" s="32">
        <f t="shared" si="300"/>
        <v>0</v>
      </c>
      <c r="J629" s="224"/>
      <c r="K629" s="224"/>
      <c r="L629" s="224"/>
      <c r="M629" s="226"/>
      <c r="N629" s="226"/>
      <c r="O629" s="226"/>
      <c r="P629" s="225">
        <f t="shared" si="278"/>
        <v>0</v>
      </c>
    </row>
    <row r="630" spans="1:16" x14ac:dyDescent="0.25">
      <c r="A630" s="198">
        <v>618</v>
      </c>
      <c r="B630" s="208" t="s">
        <v>22</v>
      </c>
      <c r="C630" s="195">
        <v>951</v>
      </c>
      <c r="D630" s="195" t="s">
        <v>171</v>
      </c>
      <c r="E630" s="195" t="s">
        <v>211</v>
      </c>
      <c r="F630" s="198">
        <v>240</v>
      </c>
      <c r="G630" s="32">
        <v>30.92</v>
      </c>
      <c r="H630" s="32">
        <v>30.92</v>
      </c>
      <c r="I630" s="32">
        <v>0</v>
      </c>
      <c r="J630" s="224"/>
      <c r="K630" s="224"/>
      <c r="L630" s="224"/>
      <c r="M630" s="226"/>
      <c r="N630" s="226"/>
      <c r="O630" s="226"/>
      <c r="P630" s="225">
        <f t="shared" si="278"/>
        <v>0</v>
      </c>
    </row>
    <row r="631" spans="1:16" ht="33.75" customHeight="1" x14ac:dyDescent="0.25">
      <c r="A631" s="198">
        <v>619</v>
      </c>
      <c r="B631" s="239" t="s">
        <v>242</v>
      </c>
      <c r="C631" s="49">
        <v>952</v>
      </c>
      <c r="D631" s="49" t="s">
        <v>117</v>
      </c>
      <c r="E631" s="48"/>
      <c r="F631" s="48"/>
      <c r="G631" s="51">
        <f>G632+G680+G741</f>
        <v>121367.21556</v>
      </c>
      <c r="H631" s="51">
        <f>H632+H680+H741</f>
        <v>121367.216</v>
      </c>
      <c r="I631" s="51">
        <f>I632+I680+I741</f>
        <v>119274.53</v>
      </c>
      <c r="J631" s="224"/>
      <c r="K631" s="224"/>
      <c r="L631" s="224"/>
      <c r="M631" s="226"/>
      <c r="N631" s="226"/>
      <c r="O631" s="226"/>
      <c r="P631" s="225">
        <f t="shared" si="278"/>
        <v>98.275740295468268</v>
      </c>
    </row>
    <row r="632" spans="1:16" x14ac:dyDescent="0.25">
      <c r="A632" s="198">
        <v>620</v>
      </c>
      <c r="B632" s="62" t="s">
        <v>116</v>
      </c>
      <c r="C632" s="195">
        <v>952</v>
      </c>
      <c r="D632" s="195" t="s">
        <v>117</v>
      </c>
      <c r="E632" s="198"/>
      <c r="F632" s="198"/>
      <c r="G632" s="32">
        <f>G633+G654</f>
        <v>37871.066000000006</v>
      </c>
      <c r="H632" s="32">
        <f t="shared" ref="H632:I632" si="301">H633+H654</f>
        <v>37871.066000000006</v>
      </c>
      <c r="I632" s="32">
        <f t="shared" si="301"/>
        <v>37438.9</v>
      </c>
      <c r="J632" s="224"/>
      <c r="K632" s="224"/>
      <c r="L632" s="224"/>
      <c r="M632" s="226"/>
      <c r="N632" s="226"/>
      <c r="O632" s="226"/>
      <c r="P632" s="225">
        <f t="shared" si="278"/>
        <v>98.858849127721925</v>
      </c>
    </row>
    <row r="633" spans="1:16" x14ac:dyDescent="0.25">
      <c r="A633" s="198">
        <v>621</v>
      </c>
      <c r="B633" s="199" t="s">
        <v>163</v>
      </c>
      <c r="C633" s="195">
        <v>952</v>
      </c>
      <c r="D633" s="195" t="s">
        <v>172</v>
      </c>
      <c r="E633" s="198"/>
      <c r="F633" s="198"/>
      <c r="G633" s="32">
        <f t="shared" ref="G633:I637" si="302">G634</f>
        <v>31746.302000000003</v>
      </c>
      <c r="H633" s="32">
        <f t="shared" si="302"/>
        <v>31746.302000000003</v>
      </c>
      <c r="I633" s="32">
        <f t="shared" si="302"/>
        <v>31422.5</v>
      </c>
      <c r="J633" s="224"/>
      <c r="K633" s="224"/>
      <c r="L633" s="224"/>
      <c r="M633" s="226"/>
      <c r="N633" s="226"/>
      <c r="O633" s="226"/>
      <c r="P633" s="225">
        <f t="shared" si="278"/>
        <v>98.980032382984319</v>
      </c>
    </row>
    <row r="634" spans="1:16" x14ac:dyDescent="0.25">
      <c r="A634" s="198">
        <v>622</v>
      </c>
      <c r="B634" s="199" t="s">
        <v>335</v>
      </c>
      <c r="C634" s="195">
        <v>952</v>
      </c>
      <c r="D634" s="195" t="s">
        <v>172</v>
      </c>
      <c r="E634" s="195" t="s">
        <v>194</v>
      </c>
      <c r="F634" s="198"/>
      <c r="G634" s="32">
        <f>G635</f>
        <v>31746.302000000003</v>
      </c>
      <c r="H634" s="32">
        <f t="shared" si="302"/>
        <v>31746.302000000003</v>
      </c>
      <c r="I634" s="32">
        <f t="shared" si="302"/>
        <v>31422.5</v>
      </c>
      <c r="J634" s="224"/>
      <c r="K634" s="224"/>
      <c r="L634" s="224"/>
      <c r="M634" s="226"/>
      <c r="N634" s="226"/>
      <c r="O634" s="226"/>
      <c r="P634" s="225">
        <f t="shared" si="278"/>
        <v>98.980032382984319</v>
      </c>
    </row>
    <row r="635" spans="1:16" x14ac:dyDescent="0.25">
      <c r="A635" s="198">
        <v>623</v>
      </c>
      <c r="B635" s="199" t="s">
        <v>68</v>
      </c>
      <c r="C635" s="195">
        <v>952</v>
      </c>
      <c r="D635" s="195" t="s">
        <v>172</v>
      </c>
      <c r="E635" s="195" t="s">
        <v>213</v>
      </c>
      <c r="F635" s="198"/>
      <c r="G635" s="32">
        <f>G636+G651+G648+G642+G645+G639</f>
        <v>31746.302000000003</v>
      </c>
      <c r="H635" s="32">
        <f t="shared" ref="H635:I635" si="303">H636+H651+H648+H642+H645+H639</f>
        <v>31746.302000000003</v>
      </c>
      <c r="I635" s="32">
        <f t="shared" si="303"/>
        <v>31422.5</v>
      </c>
      <c r="J635" s="224"/>
      <c r="K635" s="224"/>
      <c r="L635" s="224"/>
      <c r="M635" s="226"/>
      <c r="N635" s="226"/>
      <c r="O635" s="226"/>
      <c r="P635" s="225">
        <f t="shared" si="278"/>
        <v>98.980032382984319</v>
      </c>
    </row>
    <row r="636" spans="1:16" ht="45" x14ac:dyDescent="0.25">
      <c r="A636" s="198">
        <v>624</v>
      </c>
      <c r="B636" s="199" t="s">
        <v>373</v>
      </c>
      <c r="C636" s="195">
        <v>952</v>
      </c>
      <c r="D636" s="195" t="s">
        <v>172</v>
      </c>
      <c r="E636" s="195" t="s">
        <v>214</v>
      </c>
      <c r="F636" s="198"/>
      <c r="G636" s="32">
        <f t="shared" si="302"/>
        <v>30910.33</v>
      </c>
      <c r="H636" s="32">
        <f t="shared" si="302"/>
        <v>30910.33</v>
      </c>
      <c r="I636" s="32">
        <f t="shared" si="302"/>
        <v>30588.53</v>
      </c>
      <c r="J636" s="224"/>
      <c r="K636" s="224"/>
      <c r="L636" s="224"/>
      <c r="M636" s="226"/>
      <c r="N636" s="226"/>
      <c r="O636" s="226"/>
      <c r="P636" s="225">
        <f t="shared" si="278"/>
        <v>98.958924087837303</v>
      </c>
    </row>
    <row r="637" spans="1:16" ht="30" x14ac:dyDescent="0.25">
      <c r="A637" s="198">
        <v>625</v>
      </c>
      <c r="B637" s="208" t="s">
        <v>51</v>
      </c>
      <c r="C637" s="195">
        <v>952</v>
      </c>
      <c r="D637" s="195" t="s">
        <v>172</v>
      </c>
      <c r="E637" s="195" t="s">
        <v>214</v>
      </c>
      <c r="F637" s="198">
        <v>600</v>
      </c>
      <c r="G637" s="32">
        <f t="shared" si="302"/>
        <v>30910.33</v>
      </c>
      <c r="H637" s="32">
        <f t="shared" ref="H637:I637" si="304">H638</f>
        <v>30910.33</v>
      </c>
      <c r="I637" s="32">
        <f t="shared" si="304"/>
        <v>30588.53</v>
      </c>
      <c r="J637" s="224"/>
      <c r="K637" s="224"/>
      <c r="L637" s="224"/>
      <c r="M637" s="226"/>
      <c r="N637" s="226"/>
      <c r="O637" s="226"/>
      <c r="P637" s="225">
        <f t="shared" si="278"/>
        <v>98.958924087837303</v>
      </c>
    </row>
    <row r="638" spans="1:16" x14ac:dyDescent="0.25">
      <c r="A638" s="198">
        <v>626</v>
      </c>
      <c r="B638" s="208" t="s">
        <v>69</v>
      </c>
      <c r="C638" s="195">
        <v>952</v>
      </c>
      <c r="D638" s="195" t="s">
        <v>172</v>
      </c>
      <c r="E638" s="195" t="s">
        <v>214</v>
      </c>
      <c r="F638" s="198">
        <v>610</v>
      </c>
      <c r="G638" s="32">
        <f>30460.33+450</f>
        <v>30910.33</v>
      </c>
      <c r="H638" s="32">
        <v>30910.33</v>
      </c>
      <c r="I638" s="32">
        <v>30588.53</v>
      </c>
      <c r="J638" s="224">
        <v>450</v>
      </c>
      <c r="K638" s="224"/>
      <c r="L638" s="224"/>
      <c r="M638" s="226"/>
      <c r="N638" s="226"/>
      <c r="O638" s="226"/>
      <c r="P638" s="225">
        <f t="shared" si="278"/>
        <v>98.958924087837303</v>
      </c>
    </row>
    <row r="639" spans="1:16" ht="30" x14ac:dyDescent="0.25">
      <c r="A639" s="198">
        <v>627</v>
      </c>
      <c r="B639" s="208" t="s">
        <v>572</v>
      </c>
      <c r="C639" s="195" t="s">
        <v>323</v>
      </c>
      <c r="D639" s="195" t="s">
        <v>172</v>
      </c>
      <c r="E639" s="195" t="s">
        <v>569</v>
      </c>
      <c r="F639" s="198"/>
      <c r="G639" s="32">
        <f>G640</f>
        <v>34.61</v>
      </c>
      <c r="H639" s="32">
        <f t="shared" ref="H639:I640" si="305">H640</f>
        <v>34.61</v>
      </c>
      <c r="I639" s="32">
        <f t="shared" si="305"/>
        <v>34.61</v>
      </c>
      <c r="J639" s="224"/>
      <c r="K639" s="224"/>
      <c r="L639" s="224"/>
      <c r="M639" s="226"/>
      <c r="N639" s="226"/>
      <c r="O639" s="226"/>
      <c r="P639" s="225">
        <f t="shared" si="278"/>
        <v>100</v>
      </c>
    </row>
    <row r="640" spans="1:16" ht="30" x14ac:dyDescent="0.25">
      <c r="A640" s="198">
        <v>628</v>
      </c>
      <c r="B640" s="208" t="s">
        <v>51</v>
      </c>
      <c r="C640" s="195" t="s">
        <v>323</v>
      </c>
      <c r="D640" s="195" t="s">
        <v>172</v>
      </c>
      <c r="E640" s="195" t="s">
        <v>569</v>
      </c>
      <c r="F640" s="198">
        <v>600</v>
      </c>
      <c r="G640" s="32">
        <f>G641</f>
        <v>34.61</v>
      </c>
      <c r="H640" s="32">
        <f t="shared" si="305"/>
        <v>34.61</v>
      </c>
      <c r="I640" s="32">
        <f t="shared" si="305"/>
        <v>34.61</v>
      </c>
      <c r="J640" s="224"/>
      <c r="K640" s="224"/>
      <c r="L640" s="224"/>
      <c r="M640" s="226"/>
      <c r="N640" s="226"/>
      <c r="O640" s="226"/>
      <c r="P640" s="225">
        <f t="shared" si="278"/>
        <v>100</v>
      </c>
    </row>
    <row r="641" spans="1:16" x14ac:dyDescent="0.25">
      <c r="A641" s="198">
        <v>629</v>
      </c>
      <c r="B641" s="208" t="s">
        <v>69</v>
      </c>
      <c r="C641" s="195" t="s">
        <v>323</v>
      </c>
      <c r="D641" s="195" t="s">
        <v>172</v>
      </c>
      <c r="E641" s="195" t="s">
        <v>569</v>
      </c>
      <c r="F641" s="198">
        <v>610</v>
      </c>
      <c r="G641" s="32">
        <v>34.61</v>
      </c>
      <c r="H641" s="32">
        <v>34.61</v>
      </c>
      <c r="I641" s="32">
        <v>34.61</v>
      </c>
      <c r="J641" s="224"/>
      <c r="K641" s="224"/>
      <c r="L641" s="224"/>
      <c r="M641" s="226"/>
      <c r="N641" s="226"/>
      <c r="O641" s="226"/>
      <c r="P641" s="225">
        <f t="shared" si="278"/>
        <v>100</v>
      </c>
    </row>
    <row r="642" spans="1:16" ht="30" x14ac:dyDescent="0.25">
      <c r="A642" s="198">
        <v>630</v>
      </c>
      <c r="B642" s="208" t="s">
        <v>491</v>
      </c>
      <c r="C642" s="195">
        <v>952</v>
      </c>
      <c r="D642" s="195" t="s">
        <v>172</v>
      </c>
      <c r="E642" s="195" t="s">
        <v>503</v>
      </c>
      <c r="F642" s="198"/>
      <c r="G642" s="32">
        <f>G643</f>
        <v>185.11199999999999</v>
      </c>
      <c r="H642" s="32">
        <f t="shared" ref="H642:I643" si="306">H643</f>
        <v>185.11199999999999</v>
      </c>
      <c r="I642" s="32">
        <f t="shared" si="306"/>
        <v>185.11</v>
      </c>
      <c r="J642" s="224"/>
      <c r="K642" s="224"/>
      <c r="L642" s="224"/>
      <c r="M642" s="226"/>
      <c r="N642" s="226"/>
      <c r="O642" s="226"/>
      <c r="P642" s="225">
        <f t="shared" si="278"/>
        <v>99.998919573015272</v>
      </c>
    </row>
    <row r="643" spans="1:16" ht="30" x14ac:dyDescent="0.25">
      <c r="A643" s="198">
        <v>631</v>
      </c>
      <c r="B643" s="208" t="s">
        <v>51</v>
      </c>
      <c r="C643" s="195">
        <v>952</v>
      </c>
      <c r="D643" s="195" t="s">
        <v>172</v>
      </c>
      <c r="E643" s="195" t="s">
        <v>503</v>
      </c>
      <c r="F643" s="198">
        <v>600</v>
      </c>
      <c r="G643" s="32">
        <f>G644</f>
        <v>185.11199999999999</v>
      </c>
      <c r="H643" s="32">
        <f t="shared" si="306"/>
        <v>185.11199999999999</v>
      </c>
      <c r="I643" s="32">
        <f t="shared" si="306"/>
        <v>185.11</v>
      </c>
      <c r="J643" s="224"/>
      <c r="K643" s="224"/>
      <c r="L643" s="224"/>
      <c r="M643" s="226"/>
      <c r="N643" s="226"/>
      <c r="O643" s="226"/>
      <c r="P643" s="225">
        <f t="shared" si="278"/>
        <v>99.998919573015272</v>
      </c>
    </row>
    <row r="644" spans="1:16" x14ac:dyDescent="0.25">
      <c r="A644" s="198">
        <v>632</v>
      </c>
      <c r="B644" s="208" t="s">
        <v>69</v>
      </c>
      <c r="C644" s="195">
        <v>952</v>
      </c>
      <c r="D644" s="195" t="s">
        <v>172</v>
      </c>
      <c r="E644" s="195" t="s">
        <v>503</v>
      </c>
      <c r="F644" s="198">
        <v>610</v>
      </c>
      <c r="G644" s="32">
        <v>185.11199999999999</v>
      </c>
      <c r="H644" s="32">
        <v>185.11199999999999</v>
      </c>
      <c r="I644" s="32">
        <v>185.11</v>
      </c>
      <c r="J644" s="224">
        <v>185.11</v>
      </c>
      <c r="K644" s="224"/>
      <c r="L644" s="224"/>
      <c r="M644" s="226"/>
      <c r="N644" s="226"/>
      <c r="O644" s="226"/>
      <c r="P644" s="225">
        <f t="shared" si="278"/>
        <v>99.998919573015272</v>
      </c>
    </row>
    <row r="645" spans="1:16" ht="45" x14ac:dyDescent="0.25">
      <c r="A645" s="198">
        <v>633</v>
      </c>
      <c r="B645" s="203" t="s">
        <v>537</v>
      </c>
      <c r="C645" s="195">
        <v>952</v>
      </c>
      <c r="D645" s="195" t="s">
        <v>172</v>
      </c>
      <c r="E645" s="195" t="s">
        <v>504</v>
      </c>
      <c r="F645" s="198"/>
      <c r="G645" s="32">
        <f>G646</f>
        <v>202.89</v>
      </c>
      <c r="H645" s="32">
        <f t="shared" ref="H645:I646" si="307">H646</f>
        <v>202.89</v>
      </c>
      <c r="I645" s="32">
        <f t="shared" si="307"/>
        <v>202.89</v>
      </c>
      <c r="J645" s="224"/>
      <c r="K645" s="224"/>
      <c r="L645" s="224"/>
      <c r="M645" s="226"/>
      <c r="N645" s="226"/>
      <c r="O645" s="226"/>
      <c r="P645" s="225">
        <f t="shared" si="278"/>
        <v>100</v>
      </c>
    </row>
    <row r="646" spans="1:16" ht="30" x14ac:dyDescent="0.25">
      <c r="A646" s="198">
        <v>634</v>
      </c>
      <c r="B646" s="208" t="s">
        <v>51</v>
      </c>
      <c r="C646" s="195">
        <v>952</v>
      </c>
      <c r="D646" s="195" t="s">
        <v>172</v>
      </c>
      <c r="E646" s="195" t="s">
        <v>504</v>
      </c>
      <c r="F646" s="198">
        <v>600</v>
      </c>
      <c r="G646" s="32">
        <f>G647</f>
        <v>202.89</v>
      </c>
      <c r="H646" s="32">
        <f t="shared" si="307"/>
        <v>202.89</v>
      </c>
      <c r="I646" s="32">
        <f t="shared" si="307"/>
        <v>202.89</v>
      </c>
      <c r="J646" s="224"/>
      <c r="K646" s="224"/>
      <c r="L646" s="224"/>
      <c r="M646" s="226"/>
      <c r="N646" s="226"/>
      <c r="O646" s="226"/>
      <c r="P646" s="225">
        <f t="shared" si="278"/>
        <v>100</v>
      </c>
    </row>
    <row r="647" spans="1:16" x14ac:dyDescent="0.25">
      <c r="A647" s="198">
        <v>635</v>
      </c>
      <c r="B647" s="208" t="s">
        <v>69</v>
      </c>
      <c r="C647" s="195">
        <v>952</v>
      </c>
      <c r="D647" s="195" t="s">
        <v>172</v>
      </c>
      <c r="E647" s="195" t="s">
        <v>504</v>
      </c>
      <c r="F647" s="198">
        <v>610</v>
      </c>
      <c r="G647" s="32">
        <f>79.1+123.79</f>
        <v>202.89</v>
      </c>
      <c r="H647" s="32">
        <v>202.89</v>
      </c>
      <c r="I647" s="32">
        <v>202.89</v>
      </c>
      <c r="J647" s="224">
        <v>79.099999999999994</v>
      </c>
      <c r="K647" s="224"/>
      <c r="L647" s="224"/>
      <c r="M647" s="226"/>
      <c r="N647" s="226"/>
      <c r="O647" s="226"/>
      <c r="P647" s="225">
        <f t="shared" si="278"/>
        <v>100</v>
      </c>
    </row>
    <row r="648" spans="1:16" ht="45" x14ac:dyDescent="0.25">
      <c r="A648" s="198">
        <v>636</v>
      </c>
      <c r="B648" s="203" t="s">
        <v>353</v>
      </c>
      <c r="C648" s="195" t="s">
        <v>323</v>
      </c>
      <c r="D648" s="195" t="s">
        <v>172</v>
      </c>
      <c r="E648" s="195" t="s">
        <v>393</v>
      </c>
      <c r="F648" s="198"/>
      <c r="G648" s="32">
        <f>G649</f>
        <v>411.36</v>
      </c>
      <c r="H648" s="32">
        <f t="shared" ref="H648:I649" si="308">H649</f>
        <v>411.36</v>
      </c>
      <c r="I648" s="32">
        <f t="shared" si="308"/>
        <v>411.36</v>
      </c>
      <c r="J648" s="224"/>
      <c r="K648" s="224"/>
      <c r="L648" s="224"/>
      <c r="M648" s="226"/>
      <c r="N648" s="226"/>
      <c r="O648" s="226"/>
      <c r="P648" s="225">
        <f t="shared" si="278"/>
        <v>100</v>
      </c>
    </row>
    <row r="649" spans="1:16" ht="30" x14ac:dyDescent="0.25">
      <c r="A649" s="198">
        <v>637</v>
      </c>
      <c r="B649" s="208" t="s">
        <v>51</v>
      </c>
      <c r="C649" s="195" t="s">
        <v>323</v>
      </c>
      <c r="D649" s="195" t="s">
        <v>172</v>
      </c>
      <c r="E649" s="195" t="s">
        <v>393</v>
      </c>
      <c r="F649" s="198">
        <v>600</v>
      </c>
      <c r="G649" s="32">
        <f>G650</f>
        <v>411.36</v>
      </c>
      <c r="H649" s="32">
        <f t="shared" si="308"/>
        <v>411.36</v>
      </c>
      <c r="I649" s="32">
        <f t="shared" si="308"/>
        <v>411.36</v>
      </c>
      <c r="J649" s="224"/>
      <c r="K649" s="224"/>
      <c r="L649" s="224"/>
      <c r="M649" s="226"/>
      <c r="N649" s="226"/>
      <c r="O649" s="226"/>
      <c r="P649" s="225">
        <f t="shared" si="278"/>
        <v>100</v>
      </c>
    </row>
    <row r="650" spans="1:16" x14ac:dyDescent="0.25">
      <c r="A650" s="198">
        <v>638</v>
      </c>
      <c r="B650" s="208" t="s">
        <v>69</v>
      </c>
      <c r="C650" s="195" t="s">
        <v>323</v>
      </c>
      <c r="D650" s="195" t="s">
        <v>172</v>
      </c>
      <c r="E650" s="195" t="s">
        <v>393</v>
      </c>
      <c r="F650" s="198">
        <v>610</v>
      </c>
      <c r="G650" s="32">
        <f>322.72+88.64</f>
        <v>411.36</v>
      </c>
      <c r="H650" s="32">
        <f>G650</f>
        <v>411.36</v>
      </c>
      <c r="I650" s="32">
        <v>411.36</v>
      </c>
      <c r="J650" s="224"/>
      <c r="K650" s="224"/>
      <c r="L650" s="224"/>
      <c r="M650" s="226"/>
      <c r="N650" s="226"/>
      <c r="O650" s="226"/>
      <c r="P650" s="225">
        <f t="shared" si="278"/>
        <v>100</v>
      </c>
    </row>
    <row r="651" spans="1:16" ht="45" x14ac:dyDescent="0.25">
      <c r="A651" s="198">
        <v>639</v>
      </c>
      <c r="B651" s="203" t="s">
        <v>480</v>
      </c>
      <c r="C651" s="195" t="s">
        <v>323</v>
      </c>
      <c r="D651" s="195" t="s">
        <v>172</v>
      </c>
      <c r="E651" s="195" t="s">
        <v>478</v>
      </c>
      <c r="F651" s="198"/>
      <c r="G651" s="32">
        <f>G652</f>
        <v>2</v>
      </c>
      <c r="H651" s="32">
        <f t="shared" ref="H651:I652" si="309">H652</f>
        <v>2</v>
      </c>
      <c r="I651" s="32">
        <f t="shared" si="309"/>
        <v>0</v>
      </c>
      <c r="J651" s="224"/>
      <c r="K651" s="224"/>
      <c r="L651" s="224"/>
      <c r="M651" s="226"/>
      <c r="N651" s="226"/>
      <c r="O651" s="226"/>
      <c r="P651" s="225">
        <f t="shared" si="278"/>
        <v>0</v>
      </c>
    </row>
    <row r="652" spans="1:16" ht="30" x14ac:dyDescent="0.25">
      <c r="A652" s="198">
        <v>640</v>
      </c>
      <c r="B652" s="208" t="s">
        <v>51</v>
      </c>
      <c r="C652" s="195" t="s">
        <v>323</v>
      </c>
      <c r="D652" s="195" t="s">
        <v>172</v>
      </c>
      <c r="E652" s="195" t="s">
        <v>478</v>
      </c>
      <c r="F652" s="198">
        <v>600</v>
      </c>
      <c r="G652" s="32">
        <f>G653</f>
        <v>2</v>
      </c>
      <c r="H652" s="32">
        <f t="shared" si="309"/>
        <v>2</v>
      </c>
      <c r="I652" s="32">
        <f t="shared" si="309"/>
        <v>0</v>
      </c>
      <c r="J652" s="224"/>
      <c r="K652" s="224"/>
      <c r="L652" s="224"/>
      <c r="M652" s="226"/>
      <c r="N652" s="226"/>
      <c r="O652" s="226"/>
      <c r="P652" s="225">
        <f t="shared" si="278"/>
        <v>0</v>
      </c>
    </row>
    <row r="653" spans="1:16" x14ac:dyDescent="0.25">
      <c r="A653" s="198">
        <v>641</v>
      </c>
      <c r="B653" s="208" t="s">
        <v>69</v>
      </c>
      <c r="C653" s="195" t="s">
        <v>323</v>
      </c>
      <c r="D653" s="195" t="s">
        <v>172</v>
      </c>
      <c r="E653" s="195" t="s">
        <v>478</v>
      </c>
      <c r="F653" s="198">
        <v>610</v>
      </c>
      <c r="G653" s="32">
        <v>2</v>
      </c>
      <c r="H653" s="32">
        <v>2</v>
      </c>
      <c r="I653" s="32">
        <v>0</v>
      </c>
      <c r="J653" s="224"/>
      <c r="K653" s="224"/>
      <c r="L653" s="224"/>
      <c r="M653" s="226"/>
      <c r="N653" s="226"/>
      <c r="O653" s="226"/>
      <c r="P653" s="225">
        <f t="shared" si="278"/>
        <v>0</v>
      </c>
    </row>
    <row r="654" spans="1:16" x14ac:dyDescent="0.25">
      <c r="A654" s="198">
        <v>642</v>
      </c>
      <c r="B654" s="208" t="s">
        <v>73</v>
      </c>
      <c r="C654" s="195">
        <v>952</v>
      </c>
      <c r="D654" s="195" t="s">
        <v>121</v>
      </c>
      <c r="E654" s="195" t="s">
        <v>478</v>
      </c>
      <c r="F654" s="198"/>
      <c r="G654" s="32">
        <f>G655</f>
        <v>6124.7639999999992</v>
      </c>
      <c r="H654" s="32">
        <f t="shared" ref="H654:I654" si="310">H655</f>
        <v>6124.7639999999992</v>
      </c>
      <c r="I654" s="32">
        <f t="shared" si="310"/>
        <v>6016.4</v>
      </c>
      <c r="J654" s="224"/>
      <c r="K654" s="224"/>
      <c r="L654" s="224"/>
      <c r="M654" s="226"/>
      <c r="N654" s="226"/>
      <c r="O654" s="226"/>
      <c r="P654" s="225">
        <f t="shared" ref="P654:P717" si="311">I654/H654*100</f>
        <v>98.230723665434297</v>
      </c>
    </row>
    <row r="655" spans="1:16" x14ac:dyDescent="0.25">
      <c r="A655" s="198">
        <v>643</v>
      </c>
      <c r="B655" s="199" t="s">
        <v>74</v>
      </c>
      <c r="C655" s="195">
        <v>952</v>
      </c>
      <c r="D655" s="195" t="s">
        <v>121</v>
      </c>
      <c r="E655" s="195" t="s">
        <v>215</v>
      </c>
      <c r="F655" s="198"/>
      <c r="G655" s="32">
        <f>G656+G673+G676</f>
        <v>6124.7639999999992</v>
      </c>
      <c r="H655" s="32">
        <f t="shared" ref="H655:I655" si="312">H656+H673+H676</f>
        <v>6124.7639999999992</v>
      </c>
      <c r="I655" s="32">
        <f t="shared" si="312"/>
        <v>6016.4</v>
      </c>
      <c r="J655" s="224"/>
      <c r="K655" s="224"/>
      <c r="L655" s="224"/>
      <c r="M655" s="226"/>
      <c r="N655" s="226"/>
      <c r="O655" s="226"/>
      <c r="P655" s="225">
        <f t="shared" si="311"/>
        <v>98.230723665434297</v>
      </c>
    </row>
    <row r="656" spans="1:16" x14ac:dyDescent="0.25">
      <c r="A656" s="198">
        <v>644</v>
      </c>
      <c r="B656" s="199" t="s">
        <v>320</v>
      </c>
      <c r="C656" s="195">
        <v>952</v>
      </c>
      <c r="D656" s="195" t="s">
        <v>121</v>
      </c>
      <c r="E656" s="195" t="s">
        <v>247</v>
      </c>
      <c r="F656" s="198"/>
      <c r="G656" s="32">
        <f>G657+G669+G666+G663+G660</f>
        <v>6035.7639999999992</v>
      </c>
      <c r="H656" s="32">
        <f t="shared" ref="H656:I656" si="313">H657+H669+H666+H663+H660</f>
        <v>6035.7639999999992</v>
      </c>
      <c r="I656" s="32">
        <f t="shared" si="313"/>
        <v>5927.4</v>
      </c>
      <c r="J656" s="32">
        <f t="shared" ref="J656:O656" si="314">J657+J669+J666+J663+J660</f>
        <v>0</v>
      </c>
      <c r="K656" s="32">
        <f t="shared" si="314"/>
        <v>0</v>
      </c>
      <c r="L656" s="32">
        <f t="shared" si="314"/>
        <v>0</v>
      </c>
      <c r="M656" s="32">
        <f t="shared" si="314"/>
        <v>0</v>
      </c>
      <c r="N656" s="32">
        <f t="shared" si="314"/>
        <v>0</v>
      </c>
      <c r="O656" s="219">
        <f t="shared" si="314"/>
        <v>0</v>
      </c>
      <c r="P656" s="225">
        <f t="shared" si="311"/>
        <v>98.204634906202443</v>
      </c>
    </row>
    <row r="657" spans="1:16" ht="45" x14ac:dyDescent="0.25">
      <c r="A657" s="198">
        <v>645</v>
      </c>
      <c r="B657" s="199" t="s">
        <v>374</v>
      </c>
      <c r="C657" s="195">
        <v>952</v>
      </c>
      <c r="D657" s="195" t="s">
        <v>121</v>
      </c>
      <c r="E657" s="195" t="s">
        <v>321</v>
      </c>
      <c r="F657" s="198"/>
      <c r="G657" s="32">
        <f>G658</f>
        <v>5275.28</v>
      </c>
      <c r="H657" s="32">
        <f t="shared" ref="H657:I657" si="315">H658</f>
        <v>5275.28</v>
      </c>
      <c r="I657" s="32">
        <f t="shared" si="315"/>
        <v>5166.92</v>
      </c>
      <c r="J657" s="224"/>
      <c r="K657" s="224"/>
      <c r="L657" s="224"/>
      <c r="M657" s="226"/>
      <c r="N657" s="226"/>
      <c r="O657" s="226"/>
      <c r="P657" s="225">
        <f t="shared" si="311"/>
        <v>97.945891023794005</v>
      </c>
    </row>
    <row r="658" spans="1:16" ht="30" x14ac:dyDescent="0.25">
      <c r="A658" s="198">
        <v>646</v>
      </c>
      <c r="B658" s="208" t="s">
        <v>51</v>
      </c>
      <c r="C658" s="195">
        <v>952</v>
      </c>
      <c r="D658" s="195" t="s">
        <v>121</v>
      </c>
      <c r="E658" s="195" t="s">
        <v>321</v>
      </c>
      <c r="F658" s="198">
        <v>600</v>
      </c>
      <c r="G658" s="32">
        <f>G659</f>
        <v>5275.28</v>
      </c>
      <c r="H658" s="32">
        <f t="shared" ref="H658:I658" si="316">H659</f>
        <v>5275.28</v>
      </c>
      <c r="I658" s="32">
        <f t="shared" si="316"/>
        <v>5166.92</v>
      </c>
      <c r="J658" s="224"/>
      <c r="K658" s="224"/>
      <c r="L658" s="224"/>
      <c r="M658" s="226"/>
      <c r="N658" s="226"/>
      <c r="O658" s="226"/>
      <c r="P658" s="225">
        <f t="shared" si="311"/>
        <v>97.945891023794005</v>
      </c>
    </row>
    <row r="659" spans="1:16" x14ac:dyDescent="0.25">
      <c r="A659" s="198">
        <v>647</v>
      </c>
      <c r="B659" s="208" t="s">
        <v>69</v>
      </c>
      <c r="C659" s="195">
        <v>952</v>
      </c>
      <c r="D659" s="195" t="s">
        <v>121</v>
      </c>
      <c r="E659" s="195" t="s">
        <v>321</v>
      </c>
      <c r="F659" s="198">
        <v>610</v>
      </c>
      <c r="G659" s="32">
        <f>5936.28-561-50-50</f>
        <v>5275.28</v>
      </c>
      <c r="H659" s="32">
        <f>G659</f>
        <v>5275.28</v>
      </c>
      <c r="I659" s="32">
        <v>5166.92</v>
      </c>
      <c r="J659" s="224">
        <v>-561</v>
      </c>
      <c r="K659" s="224">
        <v>-50</v>
      </c>
      <c r="L659" s="224"/>
      <c r="M659" s="226"/>
      <c r="N659" s="226"/>
      <c r="O659" s="226"/>
      <c r="P659" s="225">
        <f t="shared" si="311"/>
        <v>97.945891023794005</v>
      </c>
    </row>
    <row r="660" spans="1:16" ht="30" x14ac:dyDescent="0.25">
      <c r="A660" s="198">
        <v>648</v>
      </c>
      <c r="B660" s="208" t="s">
        <v>564</v>
      </c>
      <c r="C660" s="195" t="s">
        <v>323</v>
      </c>
      <c r="D660" s="195" t="s">
        <v>121</v>
      </c>
      <c r="E660" s="195" t="s">
        <v>570</v>
      </c>
      <c r="F660" s="198"/>
      <c r="G660" s="32">
        <f>G661</f>
        <v>43.11</v>
      </c>
      <c r="H660" s="32">
        <f t="shared" ref="H660:I660" si="317">H661</f>
        <v>43.11</v>
      </c>
      <c r="I660" s="32">
        <f t="shared" si="317"/>
        <v>43.11</v>
      </c>
      <c r="J660" s="224"/>
      <c r="K660" s="224"/>
      <c r="L660" s="224"/>
      <c r="M660" s="226"/>
      <c r="N660" s="226"/>
      <c r="O660" s="226"/>
      <c r="P660" s="225">
        <f t="shared" si="311"/>
        <v>100</v>
      </c>
    </row>
    <row r="661" spans="1:16" ht="30" x14ac:dyDescent="0.25">
      <c r="A661" s="198">
        <v>649</v>
      </c>
      <c r="B661" s="208" t="s">
        <v>51</v>
      </c>
      <c r="C661" s="195" t="s">
        <v>323</v>
      </c>
      <c r="D661" s="195" t="s">
        <v>121</v>
      </c>
      <c r="E661" s="195" t="s">
        <v>570</v>
      </c>
      <c r="F661" s="198">
        <v>600</v>
      </c>
      <c r="G661" s="32">
        <f>G662</f>
        <v>43.11</v>
      </c>
      <c r="H661" s="32">
        <f t="shared" ref="H661:I661" si="318">H662</f>
        <v>43.11</v>
      </c>
      <c r="I661" s="32">
        <f t="shared" si="318"/>
        <v>43.11</v>
      </c>
      <c r="J661" s="224"/>
      <c r="K661" s="224"/>
      <c r="L661" s="224"/>
      <c r="M661" s="226"/>
      <c r="N661" s="226"/>
      <c r="O661" s="226"/>
      <c r="P661" s="225">
        <f t="shared" si="311"/>
        <v>100</v>
      </c>
    </row>
    <row r="662" spans="1:16" x14ac:dyDescent="0.25">
      <c r="A662" s="198">
        <v>650</v>
      </c>
      <c r="B662" s="208" t="s">
        <v>69</v>
      </c>
      <c r="C662" s="195" t="s">
        <v>323</v>
      </c>
      <c r="D662" s="195" t="s">
        <v>121</v>
      </c>
      <c r="E662" s="195" t="s">
        <v>570</v>
      </c>
      <c r="F662" s="198">
        <v>610</v>
      </c>
      <c r="G662" s="32">
        <v>43.11</v>
      </c>
      <c r="H662" s="32">
        <v>43.11</v>
      </c>
      <c r="I662" s="32">
        <v>43.11</v>
      </c>
      <c r="J662" s="224"/>
      <c r="K662" s="224"/>
      <c r="L662" s="224"/>
      <c r="M662" s="226"/>
      <c r="N662" s="226"/>
      <c r="O662" s="226"/>
      <c r="P662" s="225">
        <f t="shared" si="311"/>
        <v>100</v>
      </c>
    </row>
    <row r="663" spans="1:16" ht="30" x14ac:dyDescent="0.25">
      <c r="A663" s="198">
        <v>651</v>
      </c>
      <c r="B663" s="208" t="s">
        <v>491</v>
      </c>
      <c r="C663" s="195">
        <v>952</v>
      </c>
      <c r="D663" s="195" t="s">
        <v>121</v>
      </c>
      <c r="E663" s="195" t="s">
        <v>505</v>
      </c>
      <c r="F663" s="198"/>
      <c r="G663" s="32">
        <f>G664</f>
        <v>267.714</v>
      </c>
      <c r="H663" s="32">
        <f t="shared" ref="H663:I663" si="319">H664</f>
        <v>267.714</v>
      </c>
      <c r="I663" s="32">
        <f t="shared" si="319"/>
        <v>267.70999999999998</v>
      </c>
      <c r="J663" s="224"/>
      <c r="K663" s="224"/>
      <c r="L663" s="224"/>
      <c r="M663" s="226"/>
      <c r="N663" s="226"/>
      <c r="O663" s="226"/>
      <c r="P663" s="225">
        <f t="shared" si="311"/>
        <v>99.998505868202628</v>
      </c>
    </row>
    <row r="664" spans="1:16" ht="30" x14ac:dyDescent="0.25">
      <c r="A664" s="198">
        <v>652</v>
      </c>
      <c r="B664" s="208" t="s">
        <v>51</v>
      </c>
      <c r="C664" s="195">
        <v>952</v>
      </c>
      <c r="D664" s="195" t="s">
        <v>121</v>
      </c>
      <c r="E664" s="195" t="s">
        <v>505</v>
      </c>
      <c r="F664" s="198">
        <v>600</v>
      </c>
      <c r="G664" s="32">
        <f>G665</f>
        <v>267.714</v>
      </c>
      <c r="H664" s="32">
        <f t="shared" ref="H664:I664" si="320">H665</f>
        <v>267.714</v>
      </c>
      <c r="I664" s="32">
        <f t="shared" si="320"/>
        <v>267.70999999999998</v>
      </c>
      <c r="J664" s="224"/>
      <c r="K664" s="224"/>
      <c r="L664" s="224"/>
      <c r="M664" s="226"/>
      <c r="N664" s="226"/>
      <c r="O664" s="226"/>
      <c r="P664" s="225">
        <f t="shared" si="311"/>
        <v>99.998505868202628</v>
      </c>
    </row>
    <row r="665" spans="1:16" x14ac:dyDescent="0.25">
      <c r="A665" s="198">
        <v>653</v>
      </c>
      <c r="B665" s="208" t="s">
        <v>69</v>
      </c>
      <c r="C665" s="195">
        <v>952</v>
      </c>
      <c r="D665" s="195" t="s">
        <v>121</v>
      </c>
      <c r="E665" s="195" t="s">
        <v>505</v>
      </c>
      <c r="F665" s="198">
        <v>610</v>
      </c>
      <c r="G665" s="32">
        <v>267.714</v>
      </c>
      <c r="H665" s="32">
        <v>267.714</v>
      </c>
      <c r="I665" s="32">
        <v>267.70999999999998</v>
      </c>
      <c r="J665" s="224">
        <v>267.70999999999998</v>
      </c>
      <c r="K665" s="224"/>
      <c r="L665" s="224"/>
      <c r="M665" s="226"/>
      <c r="N665" s="226"/>
      <c r="O665" s="226"/>
      <c r="P665" s="225">
        <f t="shared" si="311"/>
        <v>99.998505868202628</v>
      </c>
    </row>
    <row r="666" spans="1:16" ht="45" x14ac:dyDescent="0.25">
      <c r="A666" s="198">
        <v>654</v>
      </c>
      <c r="B666" s="203" t="s">
        <v>353</v>
      </c>
      <c r="C666" s="195" t="s">
        <v>323</v>
      </c>
      <c r="D666" s="195" t="s">
        <v>121</v>
      </c>
      <c r="E666" s="195" t="s">
        <v>394</v>
      </c>
      <c r="F666" s="198"/>
      <c r="G666" s="32">
        <f>G667</f>
        <v>35.86</v>
      </c>
      <c r="H666" s="32">
        <f t="shared" ref="H666:I666" si="321">H667</f>
        <v>35.86</v>
      </c>
      <c r="I666" s="32">
        <f t="shared" si="321"/>
        <v>35.86</v>
      </c>
      <c r="J666" s="224"/>
      <c r="K666" s="224"/>
      <c r="L666" s="224"/>
      <c r="M666" s="226"/>
      <c r="N666" s="226"/>
      <c r="O666" s="226"/>
      <c r="P666" s="225">
        <f t="shared" si="311"/>
        <v>100</v>
      </c>
    </row>
    <row r="667" spans="1:16" ht="30" x14ac:dyDescent="0.25">
      <c r="A667" s="198">
        <v>655</v>
      </c>
      <c r="B667" s="208" t="s">
        <v>51</v>
      </c>
      <c r="C667" s="195" t="s">
        <v>323</v>
      </c>
      <c r="D667" s="195" t="s">
        <v>121</v>
      </c>
      <c r="E667" s="195" t="s">
        <v>394</v>
      </c>
      <c r="F667" s="198">
        <v>600</v>
      </c>
      <c r="G667" s="32">
        <f>G668</f>
        <v>35.86</v>
      </c>
      <c r="H667" s="32">
        <f t="shared" ref="H667:I667" si="322">H668</f>
        <v>35.86</v>
      </c>
      <c r="I667" s="32">
        <f t="shared" si="322"/>
        <v>35.86</v>
      </c>
      <c r="J667" s="224"/>
      <c r="K667" s="224"/>
      <c r="L667" s="224"/>
      <c r="M667" s="226"/>
      <c r="N667" s="226"/>
      <c r="O667" s="226"/>
      <c r="P667" s="225">
        <f t="shared" si="311"/>
        <v>100</v>
      </c>
    </row>
    <row r="668" spans="1:16" x14ac:dyDescent="0.25">
      <c r="A668" s="198">
        <v>656</v>
      </c>
      <c r="B668" s="208" t="s">
        <v>69</v>
      </c>
      <c r="C668" s="195" t="s">
        <v>323</v>
      </c>
      <c r="D668" s="195" t="s">
        <v>121</v>
      </c>
      <c r="E668" s="195" t="s">
        <v>394</v>
      </c>
      <c r="F668" s="198">
        <v>610</v>
      </c>
      <c r="G668" s="32">
        <v>35.86</v>
      </c>
      <c r="H668" s="32">
        <v>35.86</v>
      </c>
      <c r="I668" s="32">
        <v>35.86</v>
      </c>
      <c r="J668" s="224"/>
      <c r="K668" s="224"/>
      <c r="L668" s="224"/>
      <c r="M668" s="226"/>
      <c r="N668" s="226"/>
      <c r="O668" s="226"/>
      <c r="P668" s="225">
        <f t="shared" si="311"/>
        <v>100</v>
      </c>
    </row>
    <row r="669" spans="1:16" ht="45" x14ac:dyDescent="0.25">
      <c r="A669" s="198">
        <v>657</v>
      </c>
      <c r="B669" s="201" t="s">
        <v>390</v>
      </c>
      <c r="C669" s="195">
        <v>952</v>
      </c>
      <c r="D669" s="195" t="s">
        <v>121</v>
      </c>
      <c r="E669" s="195" t="s">
        <v>322</v>
      </c>
      <c r="F669" s="198"/>
      <c r="G669" s="32">
        <f>G670</f>
        <v>413.8</v>
      </c>
      <c r="H669" s="32">
        <f t="shared" ref="H669:I669" si="323">H670</f>
        <v>413.8</v>
      </c>
      <c r="I669" s="32">
        <f t="shared" si="323"/>
        <v>413.8</v>
      </c>
      <c r="J669" s="224"/>
      <c r="K669" s="224"/>
      <c r="L669" s="224"/>
      <c r="M669" s="226"/>
      <c r="N669" s="226"/>
      <c r="O669" s="226"/>
      <c r="P669" s="225">
        <f t="shared" si="311"/>
        <v>100</v>
      </c>
    </row>
    <row r="670" spans="1:16" ht="30" x14ac:dyDescent="0.25">
      <c r="A670" s="198">
        <v>658</v>
      </c>
      <c r="B670" s="208" t="s">
        <v>51</v>
      </c>
      <c r="C670" s="195">
        <v>952</v>
      </c>
      <c r="D670" s="195" t="s">
        <v>121</v>
      </c>
      <c r="E670" s="195" t="s">
        <v>322</v>
      </c>
      <c r="F670" s="198">
        <v>600</v>
      </c>
      <c r="G670" s="32">
        <f>G671</f>
        <v>413.8</v>
      </c>
      <c r="H670" s="32">
        <f t="shared" ref="H670:I670" si="324">H671</f>
        <v>413.8</v>
      </c>
      <c r="I670" s="32">
        <f t="shared" si="324"/>
        <v>413.8</v>
      </c>
      <c r="J670" s="224"/>
      <c r="K670" s="224"/>
      <c r="L670" s="224"/>
      <c r="M670" s="226"/>
      <c r="N670" s="226"/>
      <c r="O670" s="226"/>
      <c r="P670" s="225">
        <f t="shared" si="311"/>
        <v>100</v>
      </c>
    </row>
    <row r="671" spans="1:16" x14ac:dyDescent="0.25">
      <c r="A671" s="198">
        <v>659</v>
      </c>
      <c r="B671" s="208" t="s">
        <v>69</v>
      </c>
      <c r="C671" s="195">
        <v>952</v>
      </c>
      <c r="D671" s="195" t="s">
        <v>121</v>
      </c>
      <c r="E671" s="195" t="s">
        <v>322</v>
      </c>
      <c r="F671" s="198">
        <v>610</v>
      </c>
      <c r="G671" s="32">
        <f>331+82.8</f>
        <v>413.8</v>
      </c>
      <c r="H671" s="32">
        <v>413.8</v>
      </c>
      <c r="I671" s="32">
        <v>413.8</v>
      </c>
      <c r="J671" s="224"/>
      <c r="K671" s="224"/>
      <c r="L671" s="224"/>
      <c r="M671" s="226"/>
      <c r="N671" s="226"/>
      <c r="O671" s="226"/>
      <c r="P671" s="225">
        <f t="shared" si="311"/>
        <v>100</v>
      </c>
    </row>
    <row r="672" spans="1:16" x14ac:dyDescent="0.25">
      <c r="A672" s="198">
        <v>660</v>
      </c>
      <c r="B672" s="203" t="s">
        <v>326</v>
      </c>
      <c r="C672" s="195" t="s">
        <v>323</v>
      </c>
      <c r="D672" s="195" t="s">
        <v>121</v>
      </c>
      <c r="E672" s="195" t="s">
        <v>216</v>
      </c>
      <c r="F672" s="198"/>
      <c r="G672" s="32">
        <f>G673</f>
        <v>59</v>
      </c>
      <c r="H672" s="32">
        <f t="shared" ref="H672:I674" si="325">H673</f>
        <v>59</v>
      </c>
      <c r="I672" s="32">
        <f t="shared" si="325"/>
        <v>59</v>
      </c>
      <c r="J672" s="224"/>
      <c r="K672" s="224"/>
      <c r="L672" s="224"/>
      <c r="M672" s="226"/>
      <c r="N672" s="226"/>
      <c r="O672" s="226"/>
      <c r="P672" s="225">
        <f t="shared" si="311"/>
        <v>100</v>
      </c>
    </row>
    <row r="673" spans="1:16" ht="45" x14ac:dyDescent="0.25">
      <c r="A673" s="198">
        <v>661</v>
      </c>
      <c r="B673" s="203" t="s">
        <v>375</v>
      </c>
      <c r="C673" s="195" t="s">
        <v>323</v>
      </c>
      <c r="D673" s="195" t="s">
        <v>121</v>
      </c>
      <c r="E673" s="195" t="s">
        <v>324</v>
      </c>
      <c r="F673" s="198"/>
      <c r="G673" s="32">
        <f>G674</f>
        <v>59</v>
      </c>
      <c r="H673" s="32">
        <f t="shared" si="325"/>
        <v>59</v>
      </c>
      <c r="I673" s="32">
        <f t="shared" si="325"/>
        <v>59</v>
      </c>
      <c r="J673" s="224"/>
      <c r="K673" s="224"/>
      <c r="L673" s="224"/>
      <c r="M673" s="226"/>
      <c r="N673" s="226"/>
      <c r="O673" s="226"/>
      <c r="P673" s="225">
        <f t="shared" si="311"/>
        <v>100</v>
      </c>
    </row>
    <row r="674" spans="1:16" ht="30" x14ac:dyDescent="0.25">
      <c r="A674" s="198">
        <v>662</v>
      </c>
      <c r="B674" s="208" t="s">
        <v>51</v>
      </c>
      <c r="C674" s="195" t="s">
        <v>323</v>
      </c>
      <c r="D674" s="195" t="s">
        <v>121</v>
      </c>
      <c r="E674" s="195" t="s">
        <v>324</v>
      </c>
      <c r="F674" s="198">
        <v>600</v>
      </c>
      <c r="G674" s="32">
        <f>G675</f>
        <v>59</v>
      </c>
      <c r="H674" s="32">
        <f t="shared" si="325"/>
        <v>59</v>
      </c>
      <c r="I674" s="32">
        <f t="shared" si="325"/>
        <v>59</v>
      </c>
      <c r="J674" s="224"/>
      <c r="K674" s="224"/>
      <c r="L674" s="224"/>
      <c r="M674" s="226"/>
      <c r="N674" s="226"/>
      <c r="O674" s="226"/>
      <c r="P674" s="225">
        <f t="shared" si="311"/>
        <v>100</v>
      </c>
    </row>
    <row r="675" spans="1:16" x14ac:dyDescent="0.25">
      <c r="A675" s="198">
        <v>663</v>
      </c>
      <c r="B675" s="208" t="s">
        <v>69</v>
      </c>
      <c r="C675" s="195" t="s">
        <v>323</v>
      </c>
      <c r="D675" s="195" t="s">
        <v>121</v>
      </c>
      <c r="E675" s="195" t="s">
        <v>324</v>
      </c>
      <c r="F675" s="198">
        <v>610</v>
      </c>
      <c r="G675" s="32">
        <f>69-10</f>
        <v>59</v>
      </c>
      <c r="H675" s="32">
        <v>59</v>
      </c>
      <c r="I675" s="32">
        <v>59</v>
      </c>
      <c r="J675" s="224">
        <v>-10</v>
      </c>
      <c r="K675" s="224"/>
      <c r="L675" s="224"/>
      <c r="M675" s="226"/>
      <c r="N675" s="226"/>
      <c r="O675" s="226"/>
      <c r="P675" s="225">
        <f t="shared" si="311"/>
        <v>100</v>
      </c>
    </row>
    <row r="676" spans="1:16" ht="30" x14ac:dyDescent="0.25">
      <c r="A676" s="198">
        <v>664</v>
      </c>
      <c r="B676" s="203" t="s">
        <v>337</v>
      </c>
      <c r="C676" s="195" t="s">
        <v>323</v>
      </c>
      <c r="D676" s="195" t="s">
        <v>121</v>
      </c>
      <c r="E676" s="195" t="s">
        <v>248</v>
      </c>
      <c r="F676" s="198"/>
      <c r="G676" s="32">
        <f>G677</f>
        <v>30</v>
      </c>
      <c r="H676" s="32">
        <f t="shared" ref="H676:I676" si="326">H677</f>
        <v>30</v>
      </c>
      <c r="I676" s="32">
        <f t="shared" si="326"/>
        <v>30</v>
      </c>
      <c r="J676" s="224"/>
      <c r="K676" s="224"/>
      <c r="L676" s="224"/>
      <c r="M676" s="226"/>
      <c r="N676" s="226"/>
      <c r="O676" s="226"/>
      <c r="P676" s="225">
        <f t="shared" si="311"/>
        <v>100</v>
      </c>
    </row>
    <row r="677" spans="1:16" ht="90.75" customHeight="1" x14ac:dyDescent="0.25">
      <c r="A677" s="198">
        <v>665</v>
      </c>
      <c r="B677" s="203" t="s">
        <v>376</v>
      </c>
      <c r="C677" s="195" t="s">
        <v>323</v>
      </c>
      <c r="D677" s="195" t="s">
        <v>121</v>
      </c>
      <c r="E677" s="195" t="s">
        <v>325</v>
      </c>
      <c r="F677" s="198"/>
      <c r="G677" s="32">
        <f>G678</f>
        <v>30</v>
      </c>
      <c r="H677" s="32">
        <f t="shared" ref="H677:I678" si="327">H678</f>
        <v>30</v>
      </c>
      <c r="I677" s="32">
        <f t="shared" si="327"/>
        <v>30</v>
      </c>
      <c r="J677" s="224"/>
      <c r="K677" s="224"/>
      <c r="L677" s="224"/>
      <c r="M677" s="226"/>
      <c r="N677" s="226"/>
      <c r="O677" s="226"/>
      <c r="P677" s="225">
        <f t="shared" si="311"/>
        <v>100</v>
      </c>
    </row>
    <row r="678" spans="1:16" ht="30" x14ac:dyDescent="0.25">
      <c r="A678" s="198">
        <v>666</v>
      </c>
      <c r="B678" s="208" t="s">
        <v>51</v>
      </c>
      <c r="C678" s="195" t="s">
        <v>323</v>
      </c>
      <c r="D678" s="195" t="s">
        <v>121</v>
      </c>
      <c r="E678" s="195" t="s">
        <v>325</v>
      </c>
      <c r="F678" s="198">
        <v>600</v>
      </c>
      <c r="G678" s="32">
        <f>G679</f>
        <v>30</v>
      </c>
      <c r="H678" s="32">
        <f t="shared" si="327"/>
        <v>30</v>
      </c>
      <c r="I678" s="32">
        <f t="shared" si="327"/>
        <v>30</v>
      </c>
      <c r="J678" s="224"/>
      <c r="K678" s="224"/>
      <c r="L678" s="224"/>
      <c r="M678" s="226"/>
      <c r="N678" s="226"/>
      <c r="O678" s="226"/>
      <c r="P678" s="225">
        <f t="shared" si="311"/>
        <v>100</v>
      </c>
    </row>
    <row r="679" spans="1:16" x14ac:dyDescent="0.25">
      <c r="A679" s="198">
        <v>667</v>
      </c>
      <c r="B679" s="208" t="s">
        <v>69</v>
      </c>
      <c r="C679" s="195" t="s">
        <v>323</v>
      </c>
      <c r="D679" s="195" t="s">
        <v>121</v>
      </c>
      <c r="E679" s="195" t="s">
        <v>325</v>
      </c>
      <c r="F679" s="198">
        <v>610</v>
      </c>
      <c r="G679" s="32">
        <v>30</v>
      </c>
      <c r="H679" s="32">
        <v>30</v>
      </c>
      <c r="I679" s="32">
        <v>30</v>
      </c>
      <c r="J679" s="224"/>
      <c r="K679" s="224"/>
      <c r="L679" s="224"/>
      <c r="M679" s="226"/>
      <c r="N679" s="226"/>
      <c r="O679" s="226"/>
      <c r="P679" s="225">
        <f t="shared" si="311"/>
        <v>100</v>
      </c>
    </row>
    <row r="680" spans="1:16" x14ac:dyDescent="0.25">
      <c r="A680" s="198">
        <v>668</v>
      </c>
      <c r="B680" s="62" t="s">
        <v>123</v>
      </c>
      <c r="C680" s="195">
        <v>952</v>
      </c>
      <c r="D680" s="195" t="s">
        <v>124</v>
      </c>
      <c r="E680" s="198"/>
      <c r="F680" s="198"/>
      <c r="G680" s="32">
        <f>G681+G722</f>
        <v>83376.67955999999</v>
      </c>
      <c r="H680" s="32">
        <f>H681+H722</f>
        <v>83376.679999999993</v>
      </c>
      <c r="I680" s="32">
        <f>I681+I722</f>
        <v>81725.81</v>
      </c>
      <c r="J680" s="224"/>
      <c r="K680" s="224"/>
      <c r="L680" s="224"/>
      <c r="M680" s="226"/>
      <c r="N680" s="226"/>
      <c r="O680" s="226"/>
      <c r="P680" s="225">
        <f t="shared" si="311"/>
        <v>98.019985924121713</v>
      </c>
    </row>
    <row r="681" spans="1:16" x14ac:dyDescent="0.25">
      <c r="A681" s="198">
        <v>669</v>
      </c>
      <c r="B681" s="37" t="s">
        <v>70</v>
      </c>
      <c r="C681" s="195">
        <v>952</v>
      </c>
      <c r="D681" s="195" t="s">
        <v>125</v>
      </c>
      <c r="E681" s="198"/>
      <c r="F681" s="198"/>
      <c r="G681" s="32">
        <f>G682</f>
        <v>79707.675559999989</v>
      </c>
      <c r="H681" s="32">
        <f t="shared" ref="H681:I681" si="328">H682</f>
        <v>79707.679999999993</v>
      </c>
      <c r="I681" s="32">
        <f t="shared" si="328"/>
        <v>78168.37999999999</v>
      </c>
      <c r="J681" s="224"/>
      <c r="K681" s="224"/>
      <c r="L681" s="224"/>
      <c r="M681" s="226"/>
      <c r="N681" s="226"/>
      <c r="O681" s="226"/>
      <c r="P681" s="225">
        <f t="shared" si="311"/>
        <v>98.068818462662563</v>
      </c>
    </row>
    <row r="682" spans="1:16" x14ac:dyDescent="0.25">
      <c r="A682" s="198">
        <v>670</v>
      </c>
      <c r="B682" s="199" t="s">
        <v>335</v>
      </c>
      <c r="C682" s="195">
        <v>952</v>
      </c>
      <c r="D682" s="195" t="s">
        <v>125</v>
      </c>
      <c r="E682" s="195" t="s">
        <v>194</v>
      </c>
      <c r="F682" s="198"/>
      <c r="G682" s="32">
        <f>G683+G693+G712</f>
        <v>79707.675559999989</v>
      </c>
      <c r="H682" s="32">
        <f>H683+H693+H712</f>
        <v>79707.679999999993</v>
      </c>
      <c r="I682" s="32">
        <f>I683+I693+I712</f>
        <v>78168.37999999999</v>
      </c>
      <c r="J682" s="224"/>
      <c r="K682" s="224"/>
      <c r="L682" s="224"/>
      <c r="M682" s="226"/>
      <c r="N682" s="226"/>
      <c r="O682" s="226"/>
      <c r="P682" s="225">
        <f t="shared" si="311"/>
        <v>98.068818462662563</v>
      </c>
    </row>
    <row r="683" spans="1:16" x14ac:dyDescent="0.25">
      <c r="A683" s="198">
        <v>671</v>
      </c>
      <c r="B683" s="199" t="s">
        <v>71</v>
      </c>
      <c r="C683" s="195">
        <v>952</v>
      </c>
      <c r="D683" s="195" t="s">
        <v>125</v>
      </c>
      <c r="E683" s="195" t="s">
        <v>217</v>
      </c>
      <c r="F683" s="198"/>
      <c r="G683" s="32">
        <f>G684+G687+G690</f>
        <v>21655.3</v>
      </c>
      <c r="H683" s="32">
        <f t="shared" ref="H683:I683" si="329">H684+H687+H690</f>
        <v>21655.3</v>
      </c>
      <c r="I683" s="32">
        <f t="shared" si="329"/>
        <v>21332.59</v>
      </c>
      <c r="J683" s="224"/>
      <c r="K683" s="224"/>
      <c r="L683" s="224"/>
      <c r="M683" s="226"/>
      <c r="N683" s="226"/>
      <c r="O683" s="226"/>
      <c r="P683" s="225">
        <f t="shared" si="311"/>
        <v>98.509787442335139</v>
      </c>
    </row>
    <row r="684" spans="1:16" ht="45" x14ac:dyDescent="0.25">
      <c r="A684" s="198">
        <v>672</v>
      </c>
      <c r="B684" s="71" t="s">
        <v>377</v>
      </c>
      <c r="C684" s="195">
        <v>952</v>
      </c>
      <c r="D684" s="195" t="s">
        <v>125</v>
      </c>
      <c r="E684" s="195" t="s">
        <v>218</v>
      </c>
      <c r="F684" s="198"/>
      <c r="G684" s="32">
        <f>G685</f>
        <v>16955.52</v>
      </c>
      <c r="H684" s="32">
        <f t="shared" ref="H684:I684" si="330">H685</f>
        <v>16955.52</v>
      </c>
      <c r="I684" s="32">
        <f t="shared" si="330"/>
        <v>16741.54</v>
      </c>
      <c r="J684" s="224"/>
      <c r="K684" s="224"/>
      <c r="L684" s="224"/>
      <c r="M684" s="226"/>
      <c r="N684" s="226"/>
      <c r="O684" s="226"/>
      <c r="P684" s="225">
        <f t="shared" si="311"/>
        <v>98.737992111123702</v>
      </c>
    </row>
    <row r="685" spans="1:16" ht="30" x14ac:dyDescent="0.25">
      <c r="A685" s="198">
        <v>673</v>
      </c>
      <c r="B685" s="208" t="s">
        <v>51</v>
      </c>
      <c r="C685" s="195">
        <v>952</v>
      </c>
      <c r="D685" s="195" t="s">
        <v>125</v>
      </c>
      <c r="E685" s="195" t="s">
        <v>218</v>
      </c>
      <c r="F685" s="198">
        <v>600</v>
      </c>
      <c r="G685" s="32">
        <f>G686</f>
        <v>16955.52</v>
      </c>
      <c r="H685" s="32">
        <f t="shared" ref="H685:I685" si="331">H686</f>
        <v>16955.52</v>
      </c>
      <c r="I685" s="32">
        <f t="shared" si="331"/>
        <v>16741.54</v>
      </c>
      <c r="J685" s="224"/>
      <c r="K685" s="224"/>
      <c r="L685" s="224"/>
      <c r="M685" s="226"/>
      <c r="N685" s="226"/>
      <c r="O685" s="226"/>
      <c r="P685" s="225">
        <f t="shared" si="311"/>
        <v>98.737992111123702</v>
      </c>
    </row>
    <row r="686" spans="1:16" x14ac:dyDescent="0.25">
      <c r="A686" s="198">
        <v>674</v>
      </c>
      <c r="B686" s="208" t="s">
        <v>69</v>
      </c>
      <c r="C686" s="195">
        <v>952</v>
      </c>
      <c r="D686" s="195" t="s">
        <v>125</v>
      </c>
      <c r="E686" s="195" t="s">
        <v>218</v>
      </c>
      <c r="F686" s="198">
        <v>610</v>
      </c>
      <c r="G686" s="32">
        <v>16955.52</v>
      </c>
      <c r="H686" s="32">
        <v>16955.52</v>
      </c>
      <c r="I686" s="32">
        <v>16741.54</v>
      </c>
      <c r="J686" s="224"/>
      <c r="K686" s="224"/>
      <c r="L686" s="224"/>
      <c r="M686" s="226"/>
      <c r="N686" s="226"/>
      <c r="O686" s="226"/>
      <c r="P686" s="225">
        <f t="shared" si="311"/>
        <v>98.737992111123702</v>
      </c>
    </row>
    <row r="687" spans="1:16" ht="30" x14ac:dyDescent="0.25">
      <c r="A687" s="198">
        <v>675</v>
      </c>
      <c r="B687" s="71" t="s">
        <v>378</v>
      </c>
      <c r="C687" s="195">
        <v>952</v>
      </c>
      <c r="D687" s="195" t="s">
        <v>125</v>
      </c>
      <c r="E687" s="195" t="s">
        <v>219</v>
      </c>
      <c r="F687" s="198"/>
      <c r="G687" s="32">
        <f>G688</f>
        <v>3887.05</v>
      </c>
      <c r="H687" s="32">
        <f t="shared" ref="H687:I687" si="332">H688</f>
        <v>3887.05</v>
      </c>
      <c r="I687" s="32">
        <f t="shared" si="332"/>
        <v>3778.32</v>
      </c>
      <c r="J687" s="224"/>
      <c r="K687" s="224"/>
      <c r="L687" s="224"/>
      <c r="M687" s="226"/>
      <c r="N687" s="226"/>
      <c r="O687" s="226"/>
      <c r="P687" s="225">
        <f t="shared" si="311"/>
        <v>97.202763020799836</v>
      </c>
    </row>
    <row r="688" spans="1:16" ht="30" x14ac:dyDescent="0.25">
      <c r="A688" s="198">
        <v>676</v>
      </c>
      <c r="B688" s="208" t="s">
        <v>51</v>
      </c>
      <c r="C688" s="195">
        <v>952</v>
      </c>
      <c r="D688" s="195" t="s">
        <v>125</v>
      </c>
      <c r="E688" s="195" t="s">
        <v>219</v>
      </c>
      <c r="F688" s="198">
        <v>600</v>
      </c>
      <c r="G688" s="32">
        <f>G689</f>
        <v>3887.05</v>
      </c>
      <c r="H688" s="32">
        <f t="shared" ref="H688:I688" si="333">H689</f>
        <v>3887.05</v>
      </c>
      <c r="I688" s="32">
        <f t="shared" si="333"/>
        <v>3778.32</v>
      </c>
      <c r="J688" s="224"/>
      <c r="K688" s="224"/>
      <c r="L688" s="224"/>
      <c r="M688" s="226"/>
      <c r="N688" s="226"/>
      <c r="O688" s="226"/>
      <c r="P688" s="225">
        <f t="shared" si="311"/>
        <v>97.202763020799836</v>
      </c>
    </row>
    <row r="689" spans="1:16" x14ac:dyDescent="0.25">
      <c r="A689" s="198">
        <v>677</v>
      </c>
      <c r="B689" s="208" t="s">
        <v>69</v>
      </c>
      <c r="C689" s="195">
        <v>952</v>
      </c>
      <c r="D689" s="195" t="s">
        <v>125</v>
      </c>
      <c r="E689" s="195" t="s">
        <v>219</v>
      </c>
      <c r="F689" s="198">
        <v>610</v>
      </c>
      <c r="G689" s="32">
        <f>3911.05-24</f>
        <v>3887.05</v>
      </c>
      <c r="H689" s="32">
        <v>3887.05</v>
      </c>
      <c r="I689" s="32">
        <v>3778.32</v>
      </c>
      <c r="J689" s="224">
        <v>-24</v>
      </c>
      <c r="K689" s="224"/>
      <c r="L689" s="224"/>
      <c r="M689" s="226"/>
      <c r="N689" s="226"/>
      <c r="O689" s="226"/>
      <c r="P689" s="225">
        <f t="shared" si="311"/>
        <v>97.202763020799836</v>
      </c>
    </row>
    <row r="690" spans="1:16" ht="45" x14ac:dyDescent="0.25">
      <c r="A690" s="198">
        <v>678</v>
      </c>
      <c r="B690" s="203" t="s">
        <v>537</v>
      </c>
      <c r="C690" s="195" t="s">
        <v>323</v>
      </c>
      <c r="D690" s="195" t="s">
        <v>125</v>
      </c>
      <c r="E690" s="195" t="s">
        <v>506</v>
      </c>
      <c r="F690" s="198"/>
      <c r="G690" s="32">
        <f>G691</f>
        <v>812.73</v>
      </c>
      <c r="H690" s="32">
        <f t="shared" ref="H690:I690" si="334">H691</f>
        <v>812.73</v>
      </c>
      <c r="I690" s="32">
        <f t="shared" si="334"/>
        <v>812.73</v>
      </c>
      <c r="J690" s="224"/>
      <c r="K690" s="224"/>
      <c r="L690" s="224"/>
      <c r="M690" s="226"/>
      <c r="N690" s="226"/>
      <c r="O690" s="226"/>
      <c r="P690" s="225">
        <f t="shared" si="311"/>
        <v>100</v>
      </c>
    </row>
    <row r="691" spans="1:16" ht="30" x14ac:dyDescent="0.25">
      <c r="A691" s="198">
        <v>679</v>
      </c>
      <c r="B691" s="208" t="s">
        <v>51</v>
      </c>
      <c r="C691" s="195" t="s">
        <v>323</v>
      </c>
      <c r="D691" s="195" t="s">
        <v>125</v>
      </c>
      <c r="E691" s="195" t="s">
        <v>506</v>
      </c>
      <c r="F691" s="198">
        <v>600</v>
      </c>
      <c r="G691" s="32">
        <f>G692</f>
        <v>812.73</v>
      </c>
      <c r="H691" s="32">
        <f t="shared" ref="H691:I691" si="335">H692</f>
        <v>812.73</v>
      </c>
      <c r="I691" s="32">
        <f t="shared" si="335"/>
        <v>812.73</v>
      </c>
      <c r="J691" s="224"/>
      <c r="K691" s="224"/>
      <c r="L691" s="224"/>
      <c r="M691" s="226"/>
      <c r="N691" s="226"/>
      <c r="O691" s="226"/>
      <c r="P691" s="225">
        <f t="shared" si="311"/>
        <v>100</v>
      </c>
    </row>
    <row r="692" spans="1:16" x14ac:dyDescent="0.25">
      <c r="A692" s="198">
        <v>680</v>
      </c>
      <c r="B692" s="208" t="s">
        <v>69</v>
      </c>
      <c r="C692" s="195" t="s">
        <v>323</v>
      </c>
      <c r="D692" s="195" t="s">
        <v>125</v>
      </c>
      <c r="E692" s="195" t="s">
        <v>506</v>
      </c>
      <c r="F692" s="198">
        <v>610</v>
      </c>
      <c r="G692" s="32">
        <f>608.86+203.87</f>
        <v>812.73</v>
      </c>
      <c r="H692" s="32">
        <v>812.73</v>
      </c>
      <c r="I692" s="32">
        <v>812.73</v>
      </c>
      <c r="J692" s="224">
        <v>608.86</v>
      </c>
      <c r="K692" s="224"/>
      <c r="L692" s="224"/>
      <c r="M692" s="226"/>
      <c r="N692" s="226"/>
      <c r="O692" s="226"/>
      <c r="P692" s="225">
        <f t="shared" si="311"/>
        <v>100</v>
      </c>
    </row>
    <row r="693" spans="1:16" x14ac:dyDescent="0.25">
      <c r="A693" s="198">
        <v>681</v>
      </c>
      <c r="B693" s="72" t="s">
        <v>72</v>
      </c>
      <c r="C693" s="195">
        <v>952</v>
      </c>
      <c r="D693" s="195" t="s">
        <v>125</v>
      </c>
      <c r="E693" s="195" t="s">
        <v>220</v>
      </c>
      <c r="F693" s="198"/>
      <c r="G693" s="32">
        <f>G694+G700+G703+G697+G709+G706</f>
        <v>57174.515559999993</v>
      </c>
      <c r="H693" s="32">
        <f t="shared" ref="H693:I693" si="336">H694+H700+H703+H697+H709+H706</f>
        <v>57174.51999999999</v>
      </c>
      <c r="I693" s="32">
        <f t="shared" si="336"/>
        <v>55967.029999999992</v>
      </c>
      <c r="J693" s="224"/>
      <c r="K693" s="224"/>
      <c r="L693" s="224"/>
      <c r="M693" s="226"/>
      <c r="N693" s="226"/>
      <c r="O693" s="226"/>
      <c r="P693" s="225">
        <f t="shared" si="311"/>
        <v>97.888062724444396</v>
      </c>
    </row>
    <row r="694" spans="1:16" ht="45" x14ac:dyDescent="0.25">
      <c r="A694" s="198">
        <v>682</v>
      </c>
      <c r="B694" s="71" t="s">
        <v>379</v>
      </c>
      <c r="C694" s="195">
        <v>952</v>
      </c>
      <c r="D694" s="195" t="s">
        <v>125</v>
      </c>
      <c r="E694" s="195" t="s">
        <v>221</v>
      </c>
      <c r="F694" s="198"/>
      <c r="G694" s="32">
        <f>G695</f>
        <v>13951.3</v>
      </c>
      <c r="H694" s="32">
        <f t="shared" ref="H694:I694" si="337">H695</f>
        <v>13951.3</v>
      </c>
      <c r="I694" s="32">
        <f t="shared" si="337"/>
        <v>13635.2</v>
      </c>
      <c r="J694" s="224"/>
      <c r="K694" s="224"/>
      <c r="L694" s="224"/>
      <c r="M694" s="226"/>
      <c r="N694" s="226"/>
      <c r="O694" s="226"/>
      <c r="P694" s="225">
        <f t="shared" si="311"/>
        <v>97.734261323317554</v>
      </c>
    </row>
    <row r="695" spans="1:16" ht="30" x14ac:dyDescent="0.25">
      <c r="A695" s="198">
        <v>683</v>
      </c>
      <c r="B695" s="208" t="s">
        <v>51</v>
      </c>
      <c r="C695" s="195">
        <v>952</v>
      </c>
      <c r="D695" s="195" t="s">
        <v>125</v>
      </c>
      <c r="E695" s="195" t="s">
        <v>221</v>
      </c>
      <c r="F695" s="198">
        <v>600</v>
      </c>
      <c r="G695" s="32">
        <f>G696</f>
        <v>13951.3</v>
      </c>
      <c r="H695" s="32">
        <f t="shared" ref="H695:I695" si="338">H696</f>
        <v>13951.3</v>
      </c>
      <c r="I695" s="32">
        <f t="shared" si="338"/>
        <v>13635.2</v>
      </c>
      <c r="J695" s="224"/>
      <c r="K695" s="224"/>
      <c r="L695" s="224"/>
      <c r="M695" s="226"/>
      <c r="N695" s="226"/>
      <c r="O695" s="226"/>
      <c r="P695" s="225">
        <f t="shared" si="311"/>
        <v>97.734261323317554</v>
      </c>
    </row>
    <row r="696" spans="1:16" x14ac:dyDescent="0.25">
      <c r="A696" s="198">
        <v>684</v>
      </c>
      <c r="B696" s="208" t="s">
        <v>69</v>
      </c>
      <c r="C696" s="195">
        <v>952</v>
      </c>
      <c r="D696" s="195" t="s">
        <v>125</v>
      </c>
      <c r="E696" s="195" t="s">
        <v>221</v>
      </c>
      <c r="F696" s="198">
        <v>610</v>
      </c>
      <c r="G696" s="32">
        <f>13925.82-47.65+73.13</f>
        <v>13951.3</v>
      </c>
      <c r="H696" s="32">
        <v>13951.3</v>
      </c>
      <c r="I696" s="32">
        <v>13635.2</v>
      </c>
      <c r="J696" s="224">
        <v>-47.65</v>
      </c>
      <c r="K696" s="224"/>
      <c r="L696" s="224"/>
      <c r="M696" s="226"/>
      <c r="N696" s="226"/>
      <c r="O696" s="226"/>
      <c r="P696" s="225">
        <f t="shared" si="311"/>
        <v>97.734261323317554</v>
      </c>
    </row>
    <row r="697" spans="1:16" ht="77.25" customHeight="1" x14ac:dyDescent="0.25">
      <c r="A697" s="198">
        <v>685</v>
      </c>
      <c r="B697" s="203" t="s">
        <v>552</v>
      </c>
      <c r="C697" s="195">
        <v>952</v>
      </c>
      <c r="D697" s="195" t="s">
        <v>125</v>
      </c>
      <c r="E697" s="195" t="s">
        <v>307</v>
      </c>
      <c r="F697" s="198"/>
      <c r="G697" s="32">
        <f>G698</f>
        <v>5410.5555599999998</v>
      </c>
      <c r="H697" s="32">
        <f t="shared" ref="H697:I697" si="339">H698</f>
        <v>5410.56</v>
      </c>
      <c r="I697" s="32">
        <f t="shared" si="339"/>
        <v>5410.56</v>
      </c>
      <c r="J697" s="224"/>
      <c r="K697" s="224"/>
      <c r="L697" s="224"/>
      <c r="M697" s="226"/>
      <c r="N697" s="226"/>
      <c r="O697" s="226"/>
      <c r="P697" s="225">
        <f t="shared" si="311"/>
        <v>100</v>
      </c>
    </row>
    <row r="698" spans="1:16" ht="30" x14ac:dyDescent="0.25">
      <c r="A698" s="198">
        <v>686</v>
      </c>
      <c r="B698" s="208" t="s">
        <v>51</v>
      </c>
      <c r="C698" s="195">
        <v>952</v>
      </c>
      <c r="D698" s="195" t="s">
        <v>125</v>
      </c>
      <c r="E698" s="195" t="s">
        <v>307</v>
      </c>
      <c r="F698" s="198">
        <v>600</v>
      </c>
      <c r="G698" s="32">
        <f>G699</f>
        <v>5410.5555599999998</v>
      </c>
      <c r="H698" s="32">
        <f t="shared" ref="H698:I698" si="340">H699</f>
        <v>5410.56</v>
      </c>
      <c r="I698" s="32">
        <f t="shared" si="340"/>
        <v>5410.56</v>
      </c>
      <c r="J698" s="224"/>
      <c r="K698" s="224"/>
      <c r="L698" s="224"/>
      <c r="M698" s="226"/>
      <c r="N698" s="226"/>
      <c r="O698" s="226"/>
      <c r="P698" s="225">
        <f t="shared" si="311"/>
        <v>100</v>
      </c>
    </row>
    <row r="699" spans="1:16" x14ac:dyDescent="0.25">
      <c r="A699" s="198">
        <v>687</v>
      </c>
      <c r="B699" s="208" t="s">
        <v>69</v>
      </c>
      <c r="C699" s="195">
        <v>952</v>
      </c>
      <c r="D699" s="195" t="s">
        <v>125</v>
      </c>
      <c r="E699" s="195" t="s">
        <v>307</v>
      </c>
      <c r="F699" s="198">
        <v>610</v>
      </c>
      <c r="G699" s="32">
        <f>5410.55+0.00556</f>
        <v>5410.5555599999998</v>
      </c>
      <c r="H699" s="32">
        <v>5410.56</v>
      </c>
      <c r="I699" s="32">
        <v>5410.56</v>
      </c>
      <c r="J699" s="224">
        <v>5.5599999999999998E-3</v>
      </c>
      <c r="K699" s="224">
        <v>0</v>
      </c>
      <c r="L699" s="224">
        <v>5143.8</v>
      </c>
      <c r="M699" s="226"/>
      <c r="N699" s="226"/>
      <c r="O699" s="226"/>
      <c r="P699" s="225">
        <f t="shared" si="311"/>
        <v>100</v>
      </c>
    </row>
    <row r="700" spans="1:16" ht="45" x14ac:dyDescent="0.25">
      <c r="A700" s="198">
        <v>688</v>
      </c>
      <c r="B700" s="71" t="s">
        <v>380</v>
      </c>
      <c r="C700" s="195">
        <v>952</v>
      </c>
      <c r="D700" s="195" t="s">
        <v>125</v>
      </c>
      <c r="E700" s="195" t="s">
        <v>222</v>
      </c>
      <c r="F700" s="198"/>
      <c r="G700" s="32">
        <f>G701</f>
        <v>19904.46</v>
      </c>
      <c r="H700" s="32">
        <f t="shared" ref="H700:I700" si="341">H701</f>
        <v>19904.46</v>
      </c>
      <c r="I700" s="32">
        <f t="shared" si="341"/>
        <v>19013.07</v>
      </c>
      <c r="J700" s="224"/>
      <c r="K700" s="224"/>
      <c r="L700" s="224"/>
      <c r="M700" s="226"/>
      <c r="N700" s="226"/>
      <c r="O700" s="226"/>
      <c r="P700" s="225">
        <f t="shared" si="311"/>
        <v>95.521656955275361</v>
      </c>
    </row>
    <row r="701" spans="1:16" ht="30" x14ac:dyDescent="0.25">
      <c r="A701" s="198">
        <v>689</v>
      </c>
      <c r="B701" s="208" t="s">
        <v>51</v>
      </c>
      <c r="C701" s="195">
        <v>952</v>
      </c>
      <c r="D701" s="195" t="s">
        <v>125</v>
      </c>
      <c r="E701" s="195" t="s">
        <v>222</v>
      </c>
      <c r="F701" s="198">
        <v>600</v>
      </c>
      <c r="G701" s="32">
        <f>G702</f>
        <v>19904.46</v>
      </c>
      <c r="H701" s="32">
        <f t="shared" ref="H701:I701" si="342">H702</f>
        <v>19904.46</v>
      </c>
      <c r="I701" s="32">
        <f t="shared" si="342"/>
        <v>19013.07</v>
      </c>
      <c r="J701" s="224"/>
      <c r="K701" s="224"/>
      <c r="L701" s="224"/>
      <c r="M701" s="226"/>
      <c r="N701" s="226"/>
      <c r="O701" s="226"/>
      <c r="P701" s="225">
        <f t="shared" si="311"/>
        <v>95.521656955275361</v>
      </c>
    </row>
    <row r="702" spans="1:16" x14ac:dyDescent="0.25">
      <c r="A702" s="198">
        <v>690</v>
      </c>
      <c r="B702" s="208" t="s">
        <v>69</v>
      </c>
      <c r="C702" s="195">
        <v>952</v>
      </c>
      <c r="D702" s="195" t="s">
        <v>125</v>
      </c>
      <c r="E702" s="195" t="s">
        <v>222</v>
      </c>
      <c r="F702" s="198">
        <v>610</v>
      </c>
      <c r="G702" s="32">
        <v>19904.46</v>
      </c>
      <c r="H702" s="32">
        <v>19904.46</v>
      </c>
      <c r="I702" s="32">
        <v>19013.07</v>
      </c>
      <c r="J702" s="224">
        <v>653.46</v>
      </c>
      <c r="K702" s="224"/>
      <c r="L702" s="224"/>
      <c r="M702" s="226"/>
      <c r="N702" s="226"/>
      <c r="O702" s="226"/>
      <c r="P702" s="225">
        <f t="shared" si="311"/>
        <v>95.521656955275361</v>
      </c>
    </row>
    <row r="703" spans="1:16" ht="45" x14ac:dyDescent="0.25">
      <c r="A703" s="198">
        <v>691</v>
      </c>
      <c r="B703" s="71" t="s">
        <v>381</v>
      </c>
      <c r="C703" s="195">
        <v>952</v>
      </c>
      <c r="D703" s="195" t="s">
        <v>125</v>
      </c>
      <c r="E703" s="195" t="s">
        <v>223</v>
      </c>
      <c r="F703" s="198"/>
      <c r="G703" s="32">
        <f>G704</f>
        <v>16466.93</v>
      </c>
      <c r="H703" s="32">
        <f t="shared" ref="H703:I703" si="343">H704</f>
        <v>16466.93</v>
      </c>
      <c r="I703" s="32">
        <f t="shared" si="343"/>
        <v>16466.93</v>
      </c>
      <c r="J703" s="224"/>
      <c r="K703" s="224"/>
      <c r="L703" s="224"/>
      <c r="M703" s="226"/>
      <c r="N703" s="226"/>
      <c r="O703" s="226"/>
      <c r="P703" s="225">
        <f t="shared" si="311"/>
        <v>100</v>
      </c>
    </row>
    <row r="704" spans="1:16" ht="30" x14ac:dyDescent="0.25">
      <c r="A704" s="198">
        <v>692</v>
      </c>
      <c r="B704" s="208" t="s">
        <v>51</v>
      </c>
      <c r="C704" s="195">
        <v>952</v>
      </c>
      <c r="D704" s="195" t="s">
        <v>125</v>
      </c>
      <c r="E704" s="195" t="s">
        <v>223</v>
      </c>
      <c r="F704" s="198">
        <v>600</v>
      </c>
      <c r="G704" s="32">
        <f>G705</f>
        <v>16466.93</v>
      </c>
      <c r="H704" s="32">
        <f>H705</f>
        <v>16466.93</v>
      </c>
      <c r="I704" s="32">
        <f>I705</f>
        <v>16466.93</v>
      </c>
      <c r="J704" s="224"/>
      <c r="K704" s="224"/>
      <c r="L704" s="224"/>
      <c r="M704" s="226"/>
      <c r="N704" s="226"/>
      <c r="O704" s="226"/>
      <c r="P704" s="225">
        <f t="shared" si="311"/>
        <v>100</v>
      </c>
    </row>
    <row r="705" spans="1:16" x14ac:dyDescent="0.25">
      <c r="A705" s="198">
        <v>693</v>
      </c>
      <c r="B705" s="208" t="s">
        <v>69</v>
      </c>
      <c r="C705" s="195">
        <v>952</v>
      </c>
      <c r="D705" s="195" t="s">
        <v>125</v>
      </c>
      <c r="E705" s="195" t="s">
        <v>223</v>
      </c>
      <c r="F705" s="198">
        <v>610</v>
      </c>
      <c r="G705" s="32">
        <v>16466.93</v>
      </c>
      <c r="H705" s="32">
        <v>16466.93</v>
      </c>
      <c r="I705" s="32">
        <v>16466.93</v>
      </c>
      <c r="J705" s="224"/>
      <c r="K705" s="224"/>
      <c r="L705" s="224"/>
      <c r="M705" s="226"/>
      <c r="N705" s="226"/>
      <c r="O705" s="226"/>
      <c r="P705" s="225">
        <f t="shared" si="311"/>
        <v>100</v>
      </c>
    </row>
    <row r="706" spans="1:16" ht="45" x14ac:dyDescent="0.25">
      <c r="A706" s="198">
        <v>694</v>
      </c>
      <c r="B706" s="203" t="s">
        <v>537</v>
      </c>
      <c r="C706" s="195" t="s">
        <v>323</v>
      </c>
      <c r="D706" s="195" t="s">
        <v>125</v>
      </c>
      <c r="E706" s="195" t="s">
        <v>507</v>
      </c>
      <c r="F706" s="198"/>
      <c r="G706" s="32">
        <f>G707</f>
        <v>1391.27</v>
      </c>
      <c r="H706" s="32">
        <f t="shared" ref="H706:I706" si="344">H707</f>
        <v>1391.27</v>
      </c>
      <c r="I706" s="32">
        <f t="shared" si="344"/>
        <v>1391.27</v>
      </c>
      <c r="J706" s="224"/>
      <c r="K706" s="224"/>
      <c r="L706" s="224"/>
      <c r="M706" s="226"/>
      <c r="N706" s="226"/>
      <c r="O706" s="226"/>
      <c r="P706" s="225">
        <f t="shared" si="311"/>
        <v>100</v>
      </c>
    </row>
    <row r="707" spans="1:16" ht="30" x14ac:dyDescent="0.25">
      <c r="A707" s="198">
        <v>695</v>
      </c>
      <c r="B707" s="208" t="s">
        <v>51</v>
      </c>
      <c r="C707" s="195" t="s">
        <v>323</v>
      </c>
      <c r="D707" s="195" t="s">
        <v>125</v>
      </c>
      <c r="E707" s="195" t="s">
        <v>507</v>
      </c>
      <c r="F707" s="198">
        <v>600</v>
      </c>
      <c r="G707" s="32">
        <f>G708</f>
        <v>1391.27</v>
      </c>
      <c r="H707" s="32">
        <f t="shared" ref="H707:I707" si="345">H708</f>
        <v>1391.27</v>
      </c>
      <c r="I707" s="32">
        <f t="shared" si="345"/>
        <v>1391.27</v>
      </c>
      <c r="J707" s="224"/>
      <c r="K707" s="224"/>
      <c r="L707" s="224"/>
      <c r="M707" s="226"/>
      <c r="N707" s="226"/>
      <c r="O707" s="226"/>
      <c r="P707" s="225">
        <f t="shared" si="311"/>
        <v>100</v>
      </c>
    </row>
    <row r="708" spans="1:16" x14ac:dyDescent="0.25">
      <c r="A708" s="198">
        <v>696</v>
      </c>
      <c r="B708" s="208" t="s">
        <v>69</v>
      </c>
      <c r="C708" s="195" t="s">
        <v>323</v>
      </c>
      <c r="D708" s="195" t="s">
        <v>125</v>
      </c>
      <c r="E708" s="195" t="s">
        <v>507</v>
      </c>
      <c r="F708" s="198">
        <v>610</v>
      </c>
      <c r="G708" s="32">
        <f>1044.14+347.13</f>
        <v>1391.27</v>
      </c>
      <c r="H708" s="32">
        <v>1391.27</v>
      </c>
      <c r="I708" s="32">
        <v>1391.27</v>
      </c>
      <c r="J708" s="224">
        <v>1044.1400000000001</v>
      </c>
      <c r="K708" s="224"/>
      <c r="L708" s="224"/>
      <c r="M708" s="226"/>
      <c r="N708" s="226"/>
      <c r="O708" s="226"/>
      <c r="P708" s="225">
        <f t="shared" si="311"/>
        <v>100</v>
      </c>
    </row>
    <row r="709" spans="1:16" ht="30" x14ac:dyDescent="0.25">
      <c r="A709" s="198">
        <v>697</v>
      </c>
      <c r="B709" s="203" t="s">
        <v>391</v>
      </c>
      <c r="C709" s="195" t="s">
        <v>323</v>
      </c>
      <c r="D709" s="195" t="s">
        <v>125</v>
      </c>
      <c r="E709" s="195" t="s">
        <v>392</v>
      </c>
      <c r="F709" s="198"/>
      <c r="G709" s="32">
        <f>G710</f>
        <v>50</v>
      </c>
      <c r="H709" s="32">
        <f t="shared" ref="H709:I710" si="346">H710</f>
        <v>50</v>
      </c>
      <c r="I709" s="32">
        <f t="shared" si="346"/>
        <v>50</v>
      </c>
      <c r="J709" s="224"/>
      <c r="K709" s="224"/>
      <c r="L709" s="224"/>
      <c r="M709" s="226"/>
      <c r="N709" s="226"/>
      <c r="O709" s="226"/>
      <c r="P709" s="225">
        <f t="shared" si="311"/>
        <v>100</v>
      </c>
    </row>
    <row r="710" spans="1:16" ht="30" x14ac:dyDescent="0.25">
      <c r="A710" s="198">
        <v>698</v>
      </c>
      <c r="B710" s="208" t="s">
        <v>51</v>
      </c>
      <c r="C710" s="195" t="s">
        <v>323</v>
      </c>
      <c r="D710" s="195" t="s">
        <v>125</v>
      </c>
      <c r="E710" s="195" t="s">
        <v>392</v>
      </c>
      <c r="F710" s="198">
        <v>600</v>
      </c>
      <c r="G710" s="32">
        <f>G711</f>
        <v>50</v>
      </c>
      <c r="H710" s="32">
        <f t="shared" si="346"/>
        <v>50</v>
      </c>
      <c r="I710" s="32">
        <f t="shared" si="346"/>
        <v>50</v>
      </c>
      <c r="J710" s="224"/>
      <c r="K710" s="224"/>
      <c r="L710" s="224"/>
      <c r="M710" s="226"/>
      <c r="N710" s="226"/>
      <c r="O710" s="226"/>
      <c r="P710" s="225">
        <f t="shared" si="311"/>
        <v>100</v>
      </c>
    </row>
    <row r="711" spans="1:16" x14ac:dyDescent="0.25">
      <c r="A711" s="198">
        <v>699</v>
      </c>
      <c r="B711" s="208" t="s">
        <v>69</v>
      </c>
      <c r="C711" s="195" t="s">
        <v>323</v>
      </c>
      <c r="D711" s="195" t="s">
        <v>125</v>
      </c>
      <c r="E711" s="195" t="s">
        <v>392</v>
      </c>
      <c r="F711" s="198">
        <v>610</v>
      </c>
      <c r="G711" s="32">
        <f>120-70</f>
        <v>50</v>
      </c>
      <c r="H711" s="32">
        <v>50</v>
      </c>
      <c r="I711" s="32">
        <v>50</v>
      </c>
      <c r="J711" s="224">
        <v>-70</v>
      </c>
      <c r="K711" s="224"/>
      <c r="L711" s="224"/>
      <c r="M711" s="226"/>
      <c r="N711" s="226"/>
      <c r="O711" s="226"/>
      <c r="P711" s="225">
        <f t="shared" si="311"/>
        <v>100</v>
      </c>
    </row>
    <row r="712" spans="1:16" ht="23.25" customHeight="1" x14ac:dyDescent="0.25">
      <c r="A712" s="198">
        <v>700</v>
      </c>
      <c r="B712" s="199" t="s">
        <v>68</v>
      </c>
      <c r="C712" s="195">
        <v>952</v>
      </c>
      <c r="D712" s="195" t="s">
        <v>125</v>
      </c>
      <c r="E712" s="195" t="s">
        <v>213</v>
      </c>
      <c r="F712" s="198"/>
      <c r="G712" s="32">
        <f>G716+G719+G713</f>
        <v>877.86</v>
      </c>
      <c r="H712" s="32">
        <f t="shared" ref="H712:I712" si="347">H716+H719+H713</f>
        <v>877.86</v>
      </c>
      <c r="I712" s="32">
        <f t="shared" si="347"/>
        <v>868.76</v>
      </c>
      <c r="J712" s="224"/>
      <c r="K712" s="224"/>
      <c r="L712" s="224"/>
      <c r="M712" s="226"/>
      <c r="N712" s="226"/>
      <c r="O712" s="226"/>
      <c r="P712" s="225">
        <f t="shared" si="311"/>
        <v>98.963388239582613</v>
      </c>
    </row>
    <row r="713" spans="1:16" ht="65.25" customHeight="1" x14ac:dyDescent="0.25">
      <c r="A713" s="198">
        <v>701</v>
      </c>
      <c r="B713" s="199" t="s">
        <v>551</v>
      </c>
      <c r="C713" s="195">
        <v>952</v>
      </c>
      <c r="D713" s="195" t="s">
        <v>125</v>
      </c>
      <c r="E713" s="195" t="s">
        <v>508</v>
      </c>
      <c r="F713" s="198"/>
      <c r="G713" s="32">
        <f>G714</f>
        <v>225.16</v>
      </c>
      <c r="H713" s="32">
        <f t="shared" ref="H713:I714" si="348">H714</f>
        <v>225.16</v>
      </c>
      <c r="I713" s="32">
        <f t="shared" si="348"/>
        <v>225.16</v>
      </c>
      <c r="J713" s="224"/>
      <c r="K713" s="224"/>
      <c r="L713" s="224"/>
      <c r="M713" s="226"/>
      <c r="N713" s="226"/>
      <c r="O713" s="226"/>
      <c r="P713" s="225">
        <f t="shared" si="311"/>
        <v>100</v>
      </c>
    </row>
    <row r="714" spans="1:16" ht="46.5" customHeight="1" x14ac:dyDescent="0.25">
      <c r="A714" s="198">
        <v>702</v>
      </c>
      <c r="B714" s="73" t="s">
        <v>51</v>
      </c>
      <c r="C714" s="195">
        <v>952</v>
      </c>
      <c r="D714" s="195" t="s">
        <v>125</v>
      </c>
      <c r="E714" s="195" t="s">
        <v>508</v>
      </c>
      <c r="F714" s="198">
        <v>600</v>
      </c>
      <c r="G714" s="32">
        <f>G715</f>
        <v>225.16</v>
      </c>
      <c r="H714" s="32">
        <f t="shared" si="348"/>
        <v>225.16</v>
      </c>
      <c r="I714" s="32">
        <f t="shared" si="348"/>
        <v>225.16</v>
      </c>
      <c r="J714" s="224"/>
      <c r="K714" s="224"/>
      <c r="L714" s="224"/>
      <c r="M714" s="226"/>
      <c r="N714" s="226"/>
      <c r="O714" s="226"/>
      <c r="P714" s="225">
        <f t="shared" si="311"/>
        <v>100</v>
      </c>
    </row>
    <row r="715" spans="1:16" ht="23.25" customHeight="1" x14ac:dyDescent="0.25">
      <c r="A715" s="198">
        <v>703</v>
      </c>
      <c r="B715" s="73" t="s">
        <v>69</v>
      </c>
      <c r="C715" s="195">
        <v>952</v>
      </c>
      <c r="D715" s="195" t="s">
        <v>125</v>
      </c>
      <c r="E715" s="195" t="s">
        <v>508</v>
      </c>
      <c r="F715" s="198">
        <v>610</v>
      </c>
      <c r="G715" s="32">
        <v>225.16</v>
      </c>
      <c r="H715" s="32">
        <v>225.16</v>
      </c>
      <c r="I715" s="32">
        <v>225.16</v>
      </c>
      <c r="J715" s="224">
        <v>213.9</v>
      </c>
      <c r="K715" s="224">
        <v>11.26</v>
      </c>
      <c r="L715" s="224"/>
      <c r="M715" s="226"/>
      <c r="N715" s="226"/>
      <c r="O715" s="226"/>
      <c r="P715" s="225">
        <f t="shared" si="311"/>
        <v>100</v>
      </c>
    </row>
    <row r="716" spans="1:16" ht="63" x14ac:dyDescent="0.25">
      <c r="A716" s="198">
        <v>704</v>
      </c>
      <c r="B716" s="207" t="s">
        <v>382</v>
      </c>
      <c r="C716" s="52">
        <v>952</v>
      </c>
      <c r="D716" s="195" t="s">
        <v>125</v>
      </c>
      <c r="E716" s="195" t="s">
        <v>308</v>
      </c>
      <c r="F716" s="52"/>
      <c r="G716" s="32">
        <f>G717</f>
        <v>400</v>
      </c>
      <c r="H716" s="32">
        <f t="shared" ref="H716:I716" si="349">H717</f>
        <v>400</v>
      </c>
      <c r="I716" s="32">
        <f t="shared" si="349"/>
        <v>400</v>
      </c>
      <c r="J716" s="224"/>
      <c r="K716" s="224"/>
      <c r="L716" s="224"/>
      <c r="M716" s="226"/>
      <c r="N716" s="226"/>
      <c r="O716" s="226"/>
      <c r="P716" s="225">
        <f t="shared" si="311"/>
        <v>100</v>
      </c>
    </row>
    <row r="717" spans="1:16" ht="31.5" x14ac:dyDescent="0.25">
      <c r="A717" s="198">
        <v>705</v>
      </c>
      <c r="B717" s="73" t="s">
        <v>51</v>
      </c>
      <c r="C717" s="52">
        <v>952</v>
      </c>
      <c r="D717" s="195" t="s">
        <v>125</v>
      </c>
      <c r="E717" s="195" t="s">
        <v>308</v>
      </c>
      <c r="F717" s="52">
        <v>600</v>
      </c>
      <c r="G717" s="32">
        <f>G718</f>
        <v>400</v>
      </c>
      <c r="H717" s="32">
        <f>H718</f>
        <v>400</v>
      </c>
      <c r="I717" s="32">
        <f>I718</f>
        <v>400</v>
      </c>
      <c r="J717" s="224"/>
      <c r="K717" s="224"/>
      <c r="L717" s="224"/>
      <c r="M717" s="226"/>
      <c r="N717" s="226"/>
      <c r="O717" s="226"/>
      <c r="P717" s="225">
        <f t="shared" si="311"/>
        <v>100</v>
      </c>
    </row>
    <row r="718" spans="1:16" ht="15.75" x14ac:dyDescent="0.25">
      <c r="A718" s="198">
        <v>706</v>
      </c>
      <c r="B718" s="73" t="s">
        <v>69</v>
      </c>
      <c r="C718" s="52">
        <v>952</v>
      </c>
      <c r="D718" s="195" t="s">
        <v>125</v>
      </c>
      <c r="E718" s="195" t="s">
        <v>308</v>
      </c>
      <c r="F718" s="52">
        <v>610</v>
      </c>
      <c r="G718" s="32">
        <v>400</v>
      </c>
      <c r="H718" s="32">
        <v>400</v>
      </c>
      <c r="I718" s="32">
        <v>400</v>
      </c>
      <c r="J718" s="224"/>
      <c r="K718" s="224"/>
      <c r="L718" s="224"/>
      <c r="M718" s="226"/>
      <c r="N718" s="226"/>
      <c r="O718" s="226"/>
      <c r="P718" s="225">
        <f t="shared" ref="P718:P781" si="350">I718/H718*100</f>
        <v>100</v>
      </c>
    </row>
    <row r="719" spans="1:16" ht="47.25" x14ac:dyDescent="0.25">
      <c r="A719" s="198">
        <v>707</v>
      </c>
      <c r="B719" s="207" t="s">
        <v>453</v>
      </c>
      <c r="C719" s="52">
        <v>952</v>
      </c>
      <c r="D719" s="195" t="s">
        <v>125</v>
      </c>
      <c r="E719" s="195" t="s">
        <v>481</v>
      </c>
      <c r="F719" s="52"/>
      <c r="G719" s="32">
        <f>G720</f>
        <v>252.7</v>
      </c>
      <c r="H719" s="32">
        <f t="shared" ref="H719:I719" si="351">H720</f>
        <v>252.7</v>
      </c>
      <c r="I719" s="32">
        <f t="shared" si="351"/>
        <v>243.6</v>
      </c>
      <c r="J719" s="224"/>
      <c r="K719" s="224"/>
      <c r="L719" s="224"/>
      <c r="M719" s="226"/>
      <c r="N719" s="226"/>
      <c r="O719" s="226"/>
      <c r="P719" s="225">
        <f t="shared" si="350"/>
        <v>96.39889196675901</v>
      </c>
    </row>
    <row r="720" spans="1:16" ht="31.5" x14ac:dyDescent="0.25">
      <c r="A720" s="198">
        <v>708</v>
      </c>
      <c r="B720" s="73" t="s">
        <v>51</v>
      </c>
      <c r="C720" s="52">
        <v>952</v>
      </c>
      <c r="D720" s="195" t="s">
        <v>125</v>
      </c>
      <c r="E720" s="195" t="s">
        <v>481</v>
      </c>
      <c r="F720" s="52">
        <v>600</v>
      </c>
      <c r="G720" s="32">
        <f>G721</f>
        <v>252.7</v>
      </c>
      <c r="H720" s="32">
        <v>252.7</v>
      </c>
      <c r="I720" s="32">
        <v>243.6</v>
      </c>
      <c r="J720" s="224"/>
      <c r="K720" s="224"/>
      <c r="L720" s="224"/>
      <c r="M720" s="226"/>
      <c r="N720" s="226"/>
      <c r="O720" s="226"/>
      <c r="P720" s="225">
        <f t="shared" si="350"/>
        <v>96.39889196675901</v>
      </c>
    </row>
    <row r="721" spans="1:16" ht="15.75" x14ac:dyDescent="0.25">
      <c r="A721" s="198">
        <v>709</v>
      </c>
      <c r="B721" s="73" t="s">
        <v>69</v>
      </c>
      <c r="C721" s="52">
        <v>952</v>
      </c>
      <c r="D721" s="195" t="s">
        <v>125</v>
      </c>
      <c r="E721" s="195" t="s">
        <v>481</v>
      </c>
      <c r="F721" s="52">
        <v>610</v>
      </c>
      <c r="G721" s="32">
        <f>157+56+39.7</f>
        <v>252.7</v>
      </c>
      <c r="H721" s="32">
        <v>252.7</v>
      </c>
      <c r="I721" s="32">
        <v>243.6</v>
      </c>
      <c r="J721" s="224">
        <v>39.700000000000003</v>
      </c>
      <c r="K721" s="224">
        <v>25.7</v>
      </c>
      <c r="L721" s="224"/>
      <c r="M721" s="226"/>
      <c r="N721" s="226"/>
      <c r="O721" s="226"/>
      <c r="P721" s="225">
        <f t="shared" si="350"/>
        <v>96.39889196675901</v>
      </c>
    </row>
    <row r="722" spans="1:16" x14ac:dyDescent="0.25">
      <c r="A722" s="198">
        <v>710</v>
      </c>
      <c r="B722" s="208" t="s">
        <v>75</v>
      </c>
      <c r="C722" s="195">
        <v>952</v>
      </c>
      <c r="D722" s="195" t="s">
        <v>126</v>
      </c>
      <c r="E722" s="198"/>
      <c r="F722" s="198"/>
      <c r="G722" s="32">
        <f>G723</f>
        <v>3669.0039999999999</v>
      </c>
      <c r="H722" s="32">
        <f t="shared" ref="H722:I723" si="352">H723</f>
        <v>3669</v>
      </c>
      <c r="I722" s="32">
        <f t="shared" si="352"/>
        <v>3557.4300000000003</v>
      </c>
      <c r="J722" s="224"/>
      <c r="K722" s="224"/>
      <c r="L722" s="224"/>
      <c r="M722" s="226"/>
      <c r="N722" s="226"/>
      <c r="O722" s="226"/>
      <c r="P722" s="225">
        <f t="shared" si="350"/>
        <v>96.959116925592809</v>
      </c>
    </row>
    <row r="723" spans="1:16" x14ac:dyDescent="0.25">
      <c r="A723" s="198">
        <v>711</v>
      </c>
      <c r="B723" s="199" t="s">
        <v>336</v>
      </c>
      <c r="C723" s="195">
        <v>952</v>
      </c>
      <c r="D723" s="195" t="s">
        <v>126</v>
      </c>
      <c r="E723" s="195" t="s">
        <v>194</v>
      </c>
      <c r="F723" s="198"/>
      <c r="G723" s="32">
        <f>G724</f>
        <v>3669.0039999999999</v>
      </c>
      <c r="H723" s="32">
        <f t="shared" si="352"/>
        <v>3669</v>
      </c>
      <c r="I723" s="32">
        <f t="shared" si="352"/>
        <v>3557.4300000000003</v>
      </c>
      <c r="J723" s="224"/>
      <c r="K723" s="224"/>
      <c r="L723" s="224"/>
      <c r="M723" s="226"/>
      <c r="N723" s="226"/>
      <c r="O723" s="226"/>
      <c r="P723" s="225">
        <f t="shared" si="350"/>
        <v>96.959116925592809</v>
      </c>
    </row>
    <row r="724" spans="1:16" x14ac:dyDescent="0.25">
      <c r="A724" s="198">
        <v>712</v>
      </c>
      <c r="B724" s="199" t="s">
        <v>68</v>
      </c>
      <c r="C724" s="195">
        <v>952</v>
      </c>
      <c r="D724" s="195" t="s">
        <v>126</v>
      </c>
      <c r="E724" s="195" t="s">
        <v>213</v>
      </c>
      <c r="F724" s="198"/>
      <c r="G724" s="32">
        <f>G725+G738+G735+G732</f>
        <v>3669.0039999999999</v>
      </c>
      <c r="H724" s="32">
        <f t="shared" ref="H724:I724" si="353">H725+H738+H735+H732</f>
        <v>3669</v>
      </c>
      <c r="I724" s="32">
        <f t="shared" si="353"/>
        <v>3557.4300000000003</v>
      </c>
      <c r="J724" s="224"/>
      <c r="K724" s="224"/>
      <c r="L724" s="224"/>
      <c r="M724" s="226"/>
      <c r="N724" s="226"/>
      <c r="O724" s="226"/>
      <c r="P724" s="225">
        <f t="shared" si="350"/>
        <v>96.959116925592809</v>
      </c>
    </row>
    <row r="725" spans="1:16" ht="45" x14ac:dyDescent="0.25">
      <c r="A725" s="198">
        <v>713</v>
      </c>
      <c r="B725" s="199" t="s">
        <v>395</v>
      </c>
      <c r="C725" s="195">
        <v>952</v>
      </c>
      <c r="D725" s="195" t="s">
        <v>126</v>
      </c>
      <c r="E725" s="195" t="s">
        <v>214</v>
      </c>
      <c r="F725" s="198"/>
      <c r="G725" s="32">
        <f>G726+G728+G730</f>
        <v>3482.9399999999996</v>
      </c>
      <c r="H725" s="32">
        <f t="shared" ref="H725:I725" si="354">H726+H728+H730</f>
        <v>3482.9399999999996</v>
      </c>
      <c r="I725" s="32">
        <f t="shared" si="354"/>
        <v>3371.37</v>
      </c>
      <c r="J725" s="224"/>
      <c r="K725" s="224"/>
      <c r="L725" s="224"/>
      <c r="M725" s="226"/>
      <c r="N725" s="226"/>
      <c r="O725" s="226"/>
      <c r="P725" s="225">
        <f t="shared" si="350"/>
        <v>96.796671777291607</v>
      </c>
    </row>
    <row r="726" spans="1:16" ht="45" x14ac:dyDescent="0.25">
      <c r="A726" s="198">
        <v>714</v>
      </c>
      <c r="B726" s="208" t="s">
        <v>16</v>
      </c>
      <c r="C726" s="195">
        <v>952</v>
      </c>
      <c r="D726" s="195" t="s">
        <v>126</v>
      </c>
      <c r="E726" s="195" t="s">
        <v>214</v>
      </c>
      <c r="F726" s="198">
        <v>100</v>
      </c>
      <c r="G726" s="32">
        <f>G727</f>
        <v>2726.18</v>
      </c>
      <c r="H726" s="32">
        <f t="shared" ref="H726:I726" si="355">H727</f>
        <v>2726.18</v>
      </c>
      <c r="I726" s="32">
        <f t="shared" si="355"/>
        <v>2664.49</v>
      </c>
      <c r="J726" s="224"/>
      <c r="K726" s="224"/>
      <c r="L726" s="224"/>
      <c r="M726" s="226"/>
      <c r="N726" s="226"/>
      <c r="O726" s="226"/>
      <c r="P726" s="225">
        <f t="shared" si="350"/>
        <v>97.73712667542128</v>
      </c>
    </row>
    <row r="727" spans="1:16" x14ac:dyDescent="0.25">
      <c r="A727" s="198">
        <v>715</v>
      </c>
      <c r="B727" s="208" t="s">
        <v>65</v>
      </c>
      <c r="C727" s="195">
        <v>952</v>
      </c>
      <c r="D727" s="195" t="s">
        <v>126</v>
      </c>
      <c r="E727" s="195" t="s">
        <v>214</v>
      </c>
      <c r="F727" s="198">
        <v>110</v>
      </c>
      <c r="G727" s="32">
        <f>2945.69-156.11-63.4</f>
        <v>2726.18</v>
      </c>
      <c r="H727" s="32">
        <v>2726.18</v>
      </c>
      <c r="I727" s="32">
        <v>2664.49</v>
      </c>
      <c r="J727" s="224">
        <v>-156.11000000000001</v>
      </c>
      <c r="K727" s="224"/>
      <c r="L727" s="224"/>
      <c r="M727" s="226"/>
      <c r="N727" s="226"/>
      <c r="O727" s="226"/>
      <c r="P727" s="225">
        <f t="shared" si="350"/>
        <v>97.73712667542128</v>
      </c>
    </row>
    <row r="728" spans="1:16" x14ac:dyDescent="0.25">
      <c r="A728" s="198">
        <v>716</v>
      </c>
      <c r="B728" s="208" t="s">
        <v>21</v>
      </c>
      <c r="C728" s="195">
        <v>952</v>
      </c>
      <c r="D728" s="195" t="s">
        <v>126</v>
      </c>
      <c r="E728" s="195" t="s">
        <v>214</v>
      </c>
      <c r="F728" s="198">
        <v>200</v>
      </c>
      <c r="G728" s="32">
        <f>G729</f>
        <v>755.76</v>
      </c>
      <c r="H728" s="32">
        <f t="shared" ref="H728:I728" si="356">H729</f>
        <v>755.76</v>
      </c>
      <c r="I728" s="32">
        <f t="shared" si="356"/>
        <v>706.58</v>
      </c>
      <c r="J728" s="224"/>
      <c r="K728" s="224"/>
      <c r="L728" s="224"/>
      <c r="M728" s="226"/>
      <c r="N728" s="226"/>
      <c r="O728" s="226"/>
      <c r="P728" s="225">
        <f t="shared" si="350"/>
        <v>93.492643167143015</v>
      </c>
    </row>
    <row r="729" spans="1:16" x14ac:dyDescent="0.25">
      <c r="A729" s="198">
        <v>717</v>
      </c>
      <c r="B729" s="208" t="s">
        <v>22</v>
      </c>
      <c r="C729" s="195">
        <v>952</v>
      </c>
      <c r="D729" s="195" t="s">
        <v>126</v>
      </c>
      <c r="E729" s="195" t="s">
        <v>214</v>
      </c>
      <c r="F729" s="198">
        <v>240</v>
      </c>
      <c r="G729" s="32">
        <f>884.97-120-9.21</f>
        <v>755.76</v>
      </c>
      <c r="H729" s="32">
        <v>755.76</v>
      </c>
      <c r="I729" s="32">
        <v>706.58</v>
      </c>
      <c r="J729" s="224">
        <v>-120</v>
      </c>
      <c r="K729" s="224"/>
      <c r="L729" s="224"/>
      <c r="M729" s="226"/>
      <c r="N729" s="226"/>
      <c r="O729" s="226"/>
      <c r="P729" s="225">
        <f t="shared" si="350"/>
        <v>93.492643167143015</v>
      </c>
    </row>
    <row r="730" spans="1:16" x14ac:dyDescent="0.25">
      <c r="A730" s="198">
        <v>718</v>
      </c>
      <c r="B730" s="208" t="s">
        <v>33</v>
      </c>
      <c r="C730" s="195">
        <v>952</v>
      </c>
      <c r="D730" s="195" t="s">
        <v>126</v>
      </c>
      <c r="E730" s="195" t="s">
        <v>214</v>
      </c>
      <c r="F730" s="198">
        <v>800</v>
      </c>
      <c r="G730" s="32">
        <f>G731</f>
        <v>1</v>
      </c>
      <c r="H730" s="32">
        <f t="shared" ref="H730:I730" si="357">H731</f>
        <v>1</v>
      </c>
      <c r="I730" s="32">
        <f t="shared" si="357"/>
        <v>0.3</v>
      </c>
      <c r="J730" s="224"/>
      <c r="K730" s="224"/>
      <c r="L730" s="224"/>
      <c r="M730" s="226"/>
      <c r="N730" s="226"/>
      <c r="O730" s="226"/>
      <c r="P730" s="225">
        <f t="shared" si="350"/>
        <v>30</v>
      </c>
    </row>
    <row r="731" spans="1:16" x14ac:dyDescent="0.25">
      <c r="A731" s="198">
        <v>719</v>
      </c>
      <c r="B731" s="208" t="s">
        <v>82</v>
      </c>
      <c r="C731" s="195">
        <v>952</v>
      </c>
      <c r="D731" s="195" t="s">
        <v>126</v>
      </c>
      <c r="E731" s="195" t="s">
        <v>214</v>
      </c>
      <c r="F731" s="198">
        <v>850</v>
      </c>
      <c r="G731" s="32">
        <v>1</v>
      </c>
      <c r="H731" s="32">
        <v>1</v>
      </c>
      <c r="I731" s="32">
        <v>0.3</v>
      </c>
      <c r="J731" s="224"/>
      <c r="K731" s="224"/>
      <c r="L731" s="224"/>
      <c r="M731" s="226"/>
      <c r="N731" s="226"/>
      <c r="O731" s="226"/>
      <c r="P731" s="225">
        <f t="shared" si="350"/>
        <v>30</v>
      </c>
    </row>
    <row r="732" spans="1:16" ht="30" x14ac:dyDescent="0.25">
      <c r="A732" s="198">
        <v>720</v>
      </c>
      <c r="B732" s="208" t="s">
        <v>557</v>
      </c>
      <c r="C732" s="195" t="s">
        <v>323</v>
      </c>
      <c r="D732" s="195" t="s">
        <v>126</v>
      </c>
      <c r="E732" s="195" t="s">
        <v>569</v>
      </c>
      <c r="F732" s="198"/>
      <c r="G732" s="32">
        <f>G733</f>
        <v>22.84</v>
      </c>
      <c r="H732" s="32">
        <f t="shared" ref="H732:I733" si="358">H733</f>
        <v>22.84</v>
      </c>
      <c r="I732" s="32">
        <f t="shared" si="358"/>
        <v>22.84</v>
      </c>
      <c r="J732" s="224"/>
      <c r="K732" s="224"/>
      <c r="L732" s="224"/>
      <c r="M732" s="226"/>
      <c r="N732" s="226"/>
      <c r="O732" s="226"/>
      <c r="P732" s="225">
        <f t="shared" si="350"/>
        <v>100</v>
      </c>
    </row>
    <row r="733" spans="1:16" ht="45" x14ac:dyDescent="0.25">
      <c r="A733" s="198">
        <v>721</v>
      </c>
      <c r="B733" s="208" t="s">
        <v>16</v>
      </c>
      <c r="C733" s="195" t="s">
        <v>323</v>
      </c>
      <c r="D733" s="195" t="s">
        <v>126</v>
      </c>
      <c r="E733" s="195" t="s">
        <v>569</v>
      </c>
      <c r="F733" s="198">
        <v>100</v>
      </c>
      <c r="G733" s="32">
        <f>G734</f>
        <v>22.84</v>
      </c>
      <c r="H733" s="32">
        <f t="shared" si="358"/>
        <v>22.84</v>
      </c>
      <c r="I733" s="32">
        <f t="shared" si="358"/>
        <v>22.84</v>
      </c>
      <c r="J733" s="224"/>
      <c r="K733" s="224"/>
      <c r="L733" s="224"/>
      <c r="M733" s="226"/>
      <c r="N733" s="226"/>
      <c r="O733" s="226"/>
      <c r="P733" s="225">
        <f t="shared" si="350"/>
        <v>100</v>
      </c>
    </row>
    <row r="734" spans="1:16" x14ac:dyDescent="0.25">
      <c r="A734" s="198">
        <v>722</v>
      </c>
      <c r="B734" s="208" t="s">
        <v>65</v>
      </c>
      <c r="C734" s="195" t="s">
        <v>323</v>
      </c>
      <c r="D734" s="195" t="s">
        <v>126</v>
      </c>
      <c r="E734" s="195" t="s">
        <v>569</v>
      </c>
      <c r="F734" s="198">
        <v>110</v>
      </c>
      <c r="G734" s="32">
        <v>22.84</v>
      </c>
      <c r="H734" s="32">
        <v>22.84</v>
      </c>
      <c r="I734" s="32">
        <v>22.84</v>
      </c>
      <c r="J734" s="224"/>
      <c r="K734" s="224"/>
      <c r="L734" s="224"/>
      <c r="M734" s="226"/>
      <c r="N734" s="226"/>
      <c r="O734" s="226"/>
      <c r="P734" s="225">
        <f t="shared" si="350"/>
        <v>100</v>
      </c>
    </row>
    <row r="735" spans="1:16" ht="30" x14ac:dyDescent="0.25">
      <c r="A735" s="198">
        <v>723</v>
      </c>
      <c r="B735" s="208" t="s">
        <v>491</v>
      </c>
      <c r="C735" s="195">
        <v>952</v>
      </c>
      <c r="D735" s="195" t="s">
        <v>126</v>
      </c>
      <c r="E735" s="195" t="s">
        <v>503</v>
      </c>
      <c r="F735" s="198"/>
      <c r="G735" s="32">
        <f>G736</f>
        <v>154.26400000000001</v>
      </c>
      <c r="H735" s="32">
        <f t="shared" ref="H735:I736" si="359">H736</f>
        <v>154.26</v>
      </c>
      <c r="I735" s="32">
        <f t="shared" si="359"/>
        <v>154.26</v>
      </c>
      <c r="J735" s="224"/>
      <c r="K735" s="224"/>
      <c r="L735" s="224"/>
      <c r="M735" s="226"/>
      <c r="N735" s="226"/>
      <c r="O735" s="226"/>
      <c r="P735" s="225">
        <f t="shared" si="350"/>
        <v>100</v>
      </c>
    </row>
    <row r="736" spans="1:16" ht="45" x14ac:dyDescent="0.25">
      <c r="A736" s="198">
        <v>724</v>
      </c>
      <c r="B736" s="208" t="s">
        <v>16</v>
      </c>
      <c r="C736" s="195">
        <v>952</v>
      </c>
      <c r="D736" s="195" t="s">
        <v>126</v>
      </c>
      <c r="E736" s="195" t="s">
        <v>503</v>
      </c>
      <c r="F736" s="198">
        <v>100</v>
      </c>
      <c r="G736" s="32">
        <f>G737</f>
        <v>154.26400000000001</v>
      </c>
      <c r="H736" s="32">
        <f t="shared" si="359"/>
        <v>154.26</v>
      </c>
      <c r="I736" s="32">
        <f t="shared" si="359"/>
        <v>154.26</v>
      </c>
      <c r="J736" s="224"/>
      <c r="K736" s="224"/>
      <c r="L736" s="224"/>
      <c r="M736" s="226"/>
      <c r="N736" s="226"/>
      <c r="O736" s="226"/>
      <c r="P736" s="225">
        <f t="shared" si="350"/>
        <v>100</v>
      </c>
    </row>
    <row r="737" spans="1:16" x14ac:dyDescent="0.25">
      <c r="A737" s="198">
        <v>725</v>
      </c>
      <c r="B737" s="208" t="s">
        <v>65</v>
      </c>
      <c r="C737" s="195">
        <v>952</v>
      </c>
      <c r="D737" s="195" t="s">
        <v>126</v>
      </c>
      <c r="E737" s="195" t="s">
        <v>503</v>
      </c>
      <c r="F737" s="198">
        <v>110</v>
      </c>
      <c r="G737" s="32">
        <v>154.26400000000001</v>
      </c>
      <c r="H737" s="32">
        <v>154.26</v>
      </c>
      <c r="I737" s="32">
        <v>154.26</v>
      </c>
      <c r="J737" s="224">
        <v>154.26</v>
      </c>
      <c r="K737" s="224"/>
      <c r="L737" s="224"/>
      <c r="M737" s="226"/>
      <c r="N737" s="226"/>
      <c r="O737" s="226"/>
      <c r="P737" s="225">
        <f t="shared" si="350"/>
        <v>100</v>
      </c>
    </row>
    <row r="738" spans="1:16" ht="45" x14ac:dyDescent="0.25">
      <c r="A738" s="198">
        <v>726</v>
      </c>
      <c r="B738" s="203" t="s">
        <v>353</v>
      </c>
      <c r="C738" s="195" t="s">
        <v>323</v>
      </c>
      <c r="D738" s="195" t="s">
        <v>126</v>
      </c>
      <c r="E738" s="195" t="s">
        <v>393</v>
      </c>
      <c r="F738" s="198"/>
      <c r="G738" s="32">
        <f>G739</f>
        <v>8.9600000000000009</v>
      </c>
      <c r="H738" s="32">
        <f t="shared" ref="H738:I739" si="360">H739</f>
        <v>8.9600000000000009</v>
      </c>
      <c r="I738" s="32">
        <f t="shared" si="360"/>
        <v>8.9600000000000009</v>
      </c>
      <c r="J738" s="224"/>
      <c r="K738" s="224"/>
      <c r="L738" s="224"/>
      <c r="M738" s="226"/>
      <c r="N738" s="226"/>
      <c r="O738" s="226"/>
      <c r="P738" s="225">
        <f t="shared" si="350"/>
        <v>100</v>
      </c>
    </row>
    <row r="739" spans="1:16" ht="45" x14ac:dyDescent="0.25">
      <c r="A739" s="198">
        <v>727</v>
      </c>
      <c r="B739" s="208" t="s">
        <v>16</v>
      </c>
      <c r="C739" s="195" t="s">
        <v>323</v>
      </c>
      <c r="D739" s="195" t="s">
        <v>126</v>
      </c>
      <c r="E739" s="195" t="s">
        <v>393</v>
      </c>
      <c r="F739" s="198">
        <v>100</v>
      </c>
      <c r="G739" s="32">
        <f>G740</f>
        <v>8.9600000000000009</v>
      </c>
      <c r="H739" s="32">
        <f t="shared" si="360"/>
        <v>8.9600000000000009</v>
      </c>
      <c r="I739" s="32">
        <f t="shared" si="360"/>
        <v>8.9600000000000009</v>
      </c>
      <c r="J739" s="224"/>
      <c r="K739" s="224"/>
      <c r="L739" s="224"/>
      <c r="M739" s="226"/>
      <c r="N739" s="226"/>
      <c r="O739" s="226"/>
      <c r="P739" s="225">
        <f t="shared" si="350"/>
        <v>100</v>
      </c>
    </row>
    <row r="740" spans="1:16" x14ac:dyDescent="0.25">
      <c r="A740" s="198">
        <v>728</v>
      </c>
      <c r="B740" s="208" t="s">
        <v>65</v>
      </c>
      <c r="C740" s="195" t="s">
        <v>323</v>
      </c>
      <c r="D740" s="195" t="s">
        <v>126</v>
      </c>
      <c r="E740" s="195" t="s">
        <v>393</v>
      </c>
      <c r="F740" s="198">
        <v>110</v>
      </c>
      <c r="G740" s="32">
        <v>8.9600000000000009</v>
      </c>
      <c r="H740" s="32">
        <v>8.9600000000000009</v>
      </c>
      <c r="I740" s="32">
        <v>8.9600000000000009</v>
      </c>
      <c r="J740" s="224"/>
      <c r="K740" s="224"/>
      <c r="L740" s="224"/>
      <c r="M740" s="226"/>
      <c r="N740" s="226"/>
      <c r="O740" s="226"/>
      <c r="P740" s="225">
        <f t="shared" si="350"/>
        <v>100</v>
      </c>
    </row>
    <row r="741" spans="1:16" ht="15.75" x14ac:dyDescent="0.25">
      <c r="A741" s="198">
        <v>729</v>
      </c>
      <c r="B741" s="207" t="s">
        <v>257</v>
      </c>
      <c r="C741" s="52">
        <v>952</v>
      </c>
      <c r="D741" s="53" t="s">
        <v>259</v>
      </c>
      <c r="E741" s="195"/>
      <c r="F741" s="52"/>
      <c r="G741" s="32">
        <f t="shared" ref="G741:G746" si="361">G742</f>
        <v>119.47</v>
      </c>
      <c r="H741" s="32">
        <f t="shared" ref="H741:I741" si="362">H742</f>
        <v>119.47</v>
      </c>
      <c r="I741" s="32">
        <f t="shared" si="362"/>
        <v>109.82</v>
      </c>
      <c r="J741" s="224"/>
      <c r="K741" s="224"/>
      <c r="L741" s="224"/>
      <c r="M741" s="226"/>
      <c r="N741" s="226"/>
      <c r="O741" s="226"/>
      <c r="P741" s="225">
        <f t="shared" si="350"/>
        <v>91.922658407968527</v>
      </c>
    </row>
    <row r="742" spans="1:16" ht="15.75" x14ac:dyDescent="0.25">
      <c r="A742" s="198">
        <v>730</v>
      </c>
      <c r="B742" s="75" t="s">
        <v>258</v>
      </c>
      <c r="C742" s="52">
        <v>952</v>
      </c>
      <c r="D742" s="53">
        <v>1101</v>
      </c>
      <c r="E742" s="195"/>
      <c r="F742" s="52"/>
      <c r="G742" s="32">
        <f t="shared" si="361"/>
        <v>119.47</v>
      </c>
      <c r="H742" s="32">
        <f t="shared" ref="H742:I742" si="363">H743</f>
        <v>119.47</v>
      </c>
      <c r="I742" s="32">
        <f t="shared" si="363"/>
        <v>109.82</v>
      </c>
      <c r="J742" s="224"/>
      <c r="K742" s="224"/>
      <c r="L742" s="224"/>
      <c r="M742" s="226"/>
      <c r="N742" s="226"/>
      <c r="O742" s="226"/>
      <c r="P742" s="225">
        <f t="shared" si="350"/>
        <v>91.922658407968527</v>
      </c>
    </row>
    <row r="743" spans="1:16" ht="30" x14ac:dyDescent="0.25">
      <c r="A743" s="198">
        <v>731</v>
      </c>
      <c r="B743" s="76" t="s">
        <v>260</v>
      </c>
      <c r="C743" s="195">
        <v>952</v>
      </c>
      <c r="D743" s="195" t="s">
        <v>261</v>
      </c>
      <c r="E743" s="195" t="s">
        <v>389</v>
      </c>
      <c r="F743" s="52"/>
      <c r="G743" s="32">
        <f>G744+G748</f>
        <v>119.47</v>
      </c>
      <c r="H743" s="32">
        <f t="shared" ref="H743:I743" si="364">H744+H748</f>
        <v>119.47</v>
      </c>
      <c r="I743" s="32">
        <f t="shared" si="364"/>
        <v>109.82</v>
      </c>
      <c r="J743" s="224"/>
      <c r="K743" s="224"/>
      <c r="L743" s="224"/>
      <c r="M743" s="226"/>
      <c r="N743" s="226"/>
      <c r="O743" s="226"/>
      <c r="P743" s="225">
        <f t="shared" si="350"/>
        <v>91.922658407968527</v>
      </c>
    </row>
    <row r="744" spans="1:16" ht="30" x14ac:dyDescent="0.25">
      <c r="A744" s="198">
        <v>732</v>
      </c>
      <c r="B744" s="201" t="s">
        <v>333</v>
      </c>
      <c r="C744" s="52">
        <v>952</v>
      </c>
      <c r="D744" s="53" t="s">
        <v>261</v>
      </c>
      <c r="E744" s="195" t="s">
        <v>383</v>
      </c>
      <c r="F744" s="52"/>
      <c r="G744" s="32">
        <f t="shared" si="361"/>
        <v>71.37</v>
      </c>
      <c r="H744" s="32">
        <f t="shared" ref="H744:I744" si="365">H745</f>
        <v>71.37</v>
      </c>
      <c r="I744" s="32">
        <f t="shared" si="365"/>
        <v>61.74</v>
      </c>
      <c r="J744" s="224"/>
      <c r="K744" s="224"/>
      <c r="L744" s="224"/>
      <c r="M744" s="226"/>
      <c r="N744" s="226"/>
      <c r="O744" s="226"/>
      <c r="P744" s="225">
        <f t="shared" si="350"/>
        <v>86.50693568726355</v>
      </c>
    </row>
    <row r="745" spans="1:16" ht="60" x14ac:dyDescent="0.25">
      <c r="A745" s="198">
        <v>733</v>
      </c>
      <c r="B745" s="201" t="s">
        <v>387</v>
      </c>
      <c r="C745" s="52">
        <v>952</v>
      </c>
      <c r="D745" s="53" t="s">
        <v>261</v>
      </c>
      <c r="E745" s="195" t="s">
        <v>384</v>
      </c>
      <c r="F745" s="52"/>
      <c r="G745" s="32">
        <f t="shared" si="361"/>
        <v>71.37</v>
      </c>
      <c r="H745" s="32">
        <f t="shared" ref="H745:I745" si="366">H746</f>
        <v>71.37</v>
      </c>
      <c r="I745" s="32">
        <f t="shared" si="366"/>
        <v>61.74</v>
      </c>
      <c r="J745" s="224"/>
      <c r="K745" s="224"/>
      <c r="L745" s="224"/>
      <c r="M745" s="226"/>
      <c r="N745" s="226"/>
      <c r="O745" s="226"/>
      <c r="P745" s="225">
        <f t="shared" si="350"/>
        <v>86.50693568726355</v>
      </c>
    </row>
    <row r="746" spans="1:16" ht="31.5" x14ac:dyDescent="0.25">
      <c r="A746" s="198">
        <v>734</v>
      </c>
      <c r="B746" s="73" t="s">
        <v>51</v>
      </c>
      <c r="C746" s="52">
        <v>952</v>
      </c>
      <c r="D746" s="53" t="s">
        <v>261</v>
      </c>
      <c r="E746" s="195" t="s">
        <v>384</v>
      </c>
      <c r="F746" s="52">
        <v>600</v>
      </c>
      <c r="G746" s="32">
        <f t="shared" si="361"/>
        <v>71.37</v>
      </c>
      <c r="H746" s="32">
        <f t="shared" ref="H746:I746" si="367">H747</f>
        <v>71.37</v>
      </c>
      <c r="I746" s="32">
        <f t="shared" si="367"/>
        <v>61.74</v>
      </c>
      <c r="J746" s="224"/>
      <c r="K746" s="224"/>
      <c r="L746" s="224"/>
      <c r="M746" s="226"/>
      <c r="N746" s="226"/>
      <c r="O746" s="226"/>
      <c r="P746" s="225">
        <f t="shared" si="350"/>
        <v>86.50693568726355</v>
      </c>
    </row>
    <row r="747" spans="1:16" ht="15.75" x14ac:dyDescent="0.25">
      <c r="A747" s="198">
        <v>735</v>
      </c>
      <c r="B747" s="73" t="s">
        <v>69</v>
      </c>
      <c r="C747" s="52">
        <v>952</v>
      </c>
      <c r="D747" s="53" t="s">
        <v>261</v>
      </c>
      <c r="E747" s="195" t="s">
        <v>384</v>
      </c>
      <c r="F747" s="52">
        <v>610</v>
      </c>
      <c r="G747" s="32">
        <f>81.37-10</f>
        <v>71.37</v>
      </c>
      <c r="H747" s="32">
        <v>71.37</v>
      </c>
      <c r="I747" s="32">
        <v>61.74</v>
      </c>
      <c r="J747" s="224">
        <v>-10</v>
      </c>
      <c r="K747" s="224"/>
      <c r="L747" s="224"/>
      <c r="M747" s="226"/>
      <c r="N747" s="226"/>
      <c r="O747" s="226"/>
      <c r="P747" s="225">
        <f t="shared" si="350"/>
        <v>86.50693568726355</v>
      </c>
    </row>
    <row r="748" spans="1:16" ht="31.5" x14ac:dyDescent="0.25">
      <c r="A748" s="198">
        <v>736</v>
      </c>
      <c r="B748" s="207" t="s">
        <v>334</v>
      </c>
      <c r="C748" s="52">
        <v>952</v>
      </c>
      <c r="D748" s="53" t="s">
        <v>261</v>
      </c>
      <c r="E748" s="195" t="s">
        <v>385</v>
      </c>
      <c r="F748" s="52"/>
      <c r="G748" s="32">
        <f>G749</f>
        <v>48.1</v>
      </c>
      <c r="H748" s="32">
        <f t="shared" ref="H748:I750" si="368">H749</f>
        <v>48.1</v>
      </c>
      <c r="I748" s="32">
        <f t="shared" si="368"/>
        <v>48.08</v>
      </c>
      <c r="J748" s="224"/>
      <c r="K748" s="224"/>
      <c r="L748" s="224"/>
      <c r="M748" s="226"/>
      <c r="N748" s="226"/>
      <c r="O748" s="226"/>
      <c r="P748" s="225">
        <f t="shared" si="350"/>
        <v>99.958419958419952</v>
      </c>
    </row>
    <row r="749" spans="1:16" ht="78.75" x14ac:dyDescent="0.25">
      <c r="A749" s="198">
        <v>737</v>
      </c>
      <c r="B749" s="207" t="s">
        <v>388</v>
      </c>
      <c r="C749" s="52">
        <v>952</v>
      </c>
      <c r="D749" s="53" t="s">
        <v>261</v>
      </c>
      <c r="E749" s="195" t="s">
        <v>386</v>
      </c>
      <c r="F749" s="52"/>
      <c r="G749" s="32">
        <f>G750</f>
        <v>48.1</v>
      </c>
      <c r="H749" s="32">
        <f t="shared" si="368"/>
        <v>48.1</v>
      </c>
      <c r="I749" s="32">
        <f t="shared" si="368"/>
        <v>48.08</v>
      </c>
      <c r="J749" s="224"/>
      <c r="K749" s="224"/>
      <c r="L749" s="224"/>
      <c r="M749" s="226"/>
      <c r="N749" s="226"/>
      <c r="O749" s="226"/>
      <c r="P749" s="225">
        <f t="shared" si="350"/>
        <v>99.958419958419952</v>
      </c>
    </row>
    <row r="750" spans="1:16" ht="31.5" x14ac:dyDescent="0.25">
      <c r="A750" s="198">
        <v>738</v>
      </c>
      <c r="B750" s="73" t="s">
        <v>51</v>
      </c>
      <c r="C750" s="52">
        <v>952</v>
      </c>
      <c r="D750" s="53" t="s">
        <v>261</v>
      </c>
      <c r="E750" s="195" t="s">
        <v>386</v>
      </c>
      <c r="F750" s="52">
        <v>600</v>
      </c>
      <c r="G750" s="32">
        <f>G751</f>
        <v>48.1</v>
      </c>
      <c r="H750" s="32">
        <f t="shared" si="368"/>
        <v>48.1</v>
      </c>
      <c r="I750" s="32">
        <f t="shared" si="368"/>
        <v>48.08</v>
      </c>
      <c r="J750" s="224"/>
      <c r="K750" s="224"/>
      <c r="L750" s="224"/>
      <c r="M750" s="226"/>
      <c r="N750" s="226"/>
      <c r="O750" s="226"/>
      <c r="P750" s="225">
        <f t="shared" si="350"/>
        <v>99.958419958419952</v>
      </c>
    </row>
    <row r="751" spans="1:16" ht="15.75" x14ac:dyDescent="0.25">
      <c r="A751" s="198">
        <v>739</v>
      </c>
      <c r="B751" s="73" t="s">
        <v>69</v>
      </c>
      <c r="C751" s="52">
        <v>952</v>
      </c>
      <c r="D751" s="53" t="s">
        <v>261</v>
      </c>
      <c r="E751" s="195" t="s">
        <v>386</v>
      </c>
      <c r="F751" s="52">
        <v>610</v>
      </c>
      <c r="G751" s="32">
        <f>58.1-10</f>
        <v>48.1</v>
      </c>
      <c r="H751" s="32">
        <v>48.1</v>
      </c>
      <c r="I751" s="32">
        <v>48.08</v>
      </c>
      <c r="J751" s="224">
        <v>-10</v>
      </c>
      <c r="K751" s="224"/>
      <c r="L751" s="224"/>
      <c r="M751" s="226"/>
      <c r="N751" s="226"/>
      <c r="O751" s="226"/>
      <c r="P751" s="225">
        <f t="shared" si="350"/>
        <v>99.958419958419952</v>
      </c>
    </row>
    <row r="752" spans="1:16" ht="28.5" x14ac:dyDescent="0.25">
      <c r="A752" s="198">
        <v>740</v>
      </c>
      <c r="B752" s="239" t="s">
        <v>525</v>
      </c>
      <c r="C752" s="52">
        <v>953</v>
      </c>
      <c r="D752" s="53"/>
      <c r="E752" s="195"/>
      <c r="F752" s="52"/>
      <c r="G752" s="32">
        <f>G753</f>
        <v>303.20000000000005</v>
      </c>
      <c r="H752" s="32">
        <f t="shared" ref="H752:I756" si="369">H753</f>
        <v>303.2</v>
      </c>
      <c r="I752" s="32">
        <f t="shared" si="369"/>
        <v>303.17200000000003</v>
      </c>
      <c r="J752" s="224"/>
      <c r="K752" s="224"/>
      <c r="L752" s="224"/>
      <c r="M752" s="226"/>
      <c r="N752" s="226"/>
      <c r="O752" s="226"/>
      <c r="P752" s="225">
        <f t="shared" si="350"/>
        <v>99.990765171503966</v>
      </c>
    </row>
    <row r="753" spans="1:16" ht="15.75" x14ac:dyDescent="0.25">
      <c r="A753" s="198">
        <v>741</v>
      </c>
      <c r="B753" s="62" t="s">
        <v>127</v>
      </c>
      <c r="C753" s="63" t="s">
        <v>527</v>
      </c>
      <c r="D753" s="63" t="s">
        <v>128</v>
      </c>
      <c r="E753" s="195"/>
      <c r="F753" s="52"/>
      <c r="G753" s="32">
        <f>G754</f>
        <v>303.20000000000005</v>
      </c>
      <c r="H753" s="32">
        <f t="shared" si="369"/>
        <v>303.2</v>
      </c>
      <c r="I753" s="32">
        <f t="shared" si="369"/>
        <v>303.17200000000003</v>
      </c>
      <c r="J753" s="224"/>
      <c r="K753" s="224"/>
      <c r="L753" s="224"/>
      <c r="M753" s="226"/>
      <c r="N753" s="226"/>
      <c r="O753" s="226"/>
      <c r="P753" s="225">
        <f t="shared" si="350"/>
        <v>99.990765171503966</v>
      </c>
    </row>
    <row r="754" spans="1:16" ht="15.75" x14ac:dyDescent="0.25">
      <c r="A754" s="198">
        <v>742</v>
      </c>
      <c r="B754" s="238" t="s">
        <v>81</v>
      </c>
      <c r="C754" s="195" t="s">
        <v>527</v>
      </c>
      <c r="D754" s="195" t="s">
        <v>131</v>
      </c>
      <c r="E754" s="195"/>
      <c r="F754" s="52"/>
      <c r="G754" s="32">
        <f>G755</f>
        <v>303.20000000000005</v>
      </c>
      <c r="H754" s="32">
        <f t="shared" si="369"/>
        <v>303.2</v>
      </c>
      <c r="I754" s="32">
        <f t="shared" si="369"/>
        <v>303.17200000000003</v>
      </c>
      <c r="J754" s="224"/>
      <c r="K754" s="224"/>
      <c r="L754" s="224"/>
      <c r="M754" s="226"/>
      <c r="N754" s="226"/>
      <c r="O754" s="226"/>
      <c r="P754" s="225">
        <f t="shared" si="350"/>
        <v>99.990765171503966</v>
      </c>
    </row>
    <row r="755" spans="1:16" x14ac:dyDescent="0.25">
      <c r="A755" s="198">
        <v>743</v>
      </c>
      <c r="B755" s="199" t="s">
        <v>24</v>
      </c>
      <c r="C755" s="195" t="s">
        <v>527</v>
      </c>
      <c r="D755" s="195" t="s">
        <v>131</v>
      </c>
      <c r="E755" s="198">
        <v>9200000000</v>
      </c>
      <c r="F755" s="198"/>
      <c r="G755" s="32">
        <f>G756</f>
        <v>303.20000000000005</v>
      </c>
      <c r="H755" s="32">
        <f t="shared" si="369"/>
        <v>303.2</v>
      </c>
      <c r="I755" s="32">
        <f t="shared" si="369"/>
        <v>303.17200000000003</v>
      </c>
      <c r="J755" s="224"/>
      <c r="K755" s="224"/>
      <c r="L755" s="224"/>
      <c r="M755" s="226"/>
      <c r="N755" s="226"/>
      <c r="O755" s="226"/>
      <c r="P755" s="225">
        <f t="shared" si="350"/>
        <v>99.990765171503966</v>
      </c>
    </row>
    <row r="756" spans="1:16" x14ac:dyDescent="0.25">
      <c r="A756" s="198">
        <v>744</v>
      </c>
      <c r="B756" s="199" t="s">
        <v>526</v>
      </c>
      <c r="C756" s="195" t="s">
        <v>527</v>
      </c>
      <c r="D756" s="195" t="s">
        <v>131</v>
      </c>
      <c r="E756" s="198">
        <v>9220000000</v>
      </c>
      <c r="F756" s="198"/>
      <c r="G756" s="32">
        <f>G757</f>
        <v>303.20000000000005</v>
      </c>
      <c r="H756" s="32">
        <f t="shared" si="369"/>
        <v>303.2</v>
      </c>
      <c r="I756" s="32">
        <f t="shared" si="369"/>
        <v>303.17200000000003</v>
      </c>
      <c r="J756" s="224"/>
      <c r="K756" s="224"/>
      <c r="L756" s="224"/>
      <c r="M756" s="226"/>
      <c r="N756" s="226"/>
      <c r="O756" s="226"/>
      <c r="P756" s="225">
        <f t="shared" si="350"/>
        <v>99.990765171503966</v>
      </c>
    </row>
    <row r="757" spans="1:16" ht="49.5" customHeight="1" x14ac:dyDescent="0.25">
      <c r="A757" s="198">
        <v>745</v>
      </c>
      <c r="B757" s="199" t="s">
        <v>528</v>
      </c>
      <c r="C757" s="195" t="s">
        <v>527</v>
      </c>
      <c r="D757" s="195" t="s">
        <v>131</v>
      </c>
      <c r="E757" s="198" t="s">
        <v>529</v>
      </c>
      <c r="F757" s="198"/>
      <c r="G757" s="32">
        <f>G758+G760+G762</f>
        <v>303.20000000000005</v>
      </c>
      <c r="H757" s="32">
        <f t="shared" ref="H757:I757" si="370">H758+H760+H762</f>
        <v>303.2</v>
      </c>
      <c r="I757" s="32">
        <f t="shared" si="370"/>
        <v>303.17200000000003</v>
      </c>
      <c r="J757" s="224">
        <v>398.9</v>
      </c>
      <c r="K757" s="224"/>
      <c r="L757" s="224"/>
      <c r="M757" s="226"/>
      <c r="N757" s="226"/>
      <c r="O757" s="226"/>
      <c r="P757" s="225">
        <f t="shared" si="350"/>
        <v>99.990765171503966</v>
      </c>
    </row>
    <row r="758" spans="1:16" x14ac:dyDescent="0.25">
      <c r="A758" s="198">
        <v>746</v>
      </c>
      <c r="B758" s="208" t="s">
        <v>21</v>
      </c>
      <c r="C758" s="195" t="s">
        <v>527</v>
      </c>
      <c r="D758" s="195" t="s">
        <v>131</v>
      </c>
      <c r="E758" s="198" t="s">
        <v>529</v>
      </c>
      <c r="F758" s="198">
        <v>200</v>
      </c>
      <c r="G758" s="32">
        <f>G759</f>
        <v>222.04000000000002</v>
      </c>
      <c r="H758" s="32">
        <f t="shared" ref="H758:O758" si="371">H759</f>
        <v>222.04</v>
      </c>
      <c r="I758" s="32">
        <f t="shared" si="371"/>
        <v>222.01</v>
      </c>
      <c r="J758" s="32">
        <f t="shared" si="371"/>
        <v>0</v>
      </c>
      <c r="K758" s="32">
        <f t="shared" si="371"/>
        <v>0</v>
      </c>
      <c r="L758" s="32">
        <f t="shared" si="371"/>
        <v>0</v>
      </c>
      <c r="M758" s="32">
        <f t="shared" si="371"/>
        <v>0</v>
      </c>
      <c r="N758" s="32">
        <f t="shared" si="371"/>
        <v>0</v>
      </c>
      <c r="O758" s="219">
        <f t="shared" si="371"/>
        <v>0</v>
      </c>
      <c r="P758" s="225">
        <f t="shared" si="350"/>
        <v>99.98648892091515</v>
      </c>
    </row>
    <row r="759" spans="1:16" x14ac:dyDescent="0.25">
      <c r="A759" s="198">
        <v>747</v>
      </c>
      <c r="B759" s="208" t="s">
        <v>22</v>
      </c>
      <c r="C759" s="195" t="s">
        <v>527</v>
      </c>
      <c r="D759" s="195" t="s">
        <v>131</v>
      </c>
      <c r="E759" s="198" t="s">
        <v>529</v>
      </c>
      <c r="F759" s="198">
        <v>240</v>
      </c>
      <c r="G759" s="32">
        <f>317.74-95.7</f>
        <v>222.04000000000002</v>
      </c>
      <c r="H759" s="32">
        <v>222.04</v>
      </c>
      <c r="I759" s="32">
        <v>222.01</v>
      </c>
      <c r="J759" s="224"/>
      <c r="K759" s="224"/>
      <c r="L759" s="224"/>
      <c r="M759" s="226"/>
      <c r="N759" s="226"/>
      <c r="O759" s="226"/>
      <c r="P759" s="225">
        <f t="shared" si="350"/>
        <v>99.98648892091515</v>
      </c>
    </row>
    <row r="760" spans="1:16" x14ac:dyDescent="0.25">
      <c r="A760" s="198">
        <v>748</v>
      </c>
      <c r="B760" s="208" t="s">
        <v>79</v>
      </c>
      <c r="C760" s="195" t="s">
        <v>527</v>
      </c>
      <c r="D760" s="195" t="s">
        <v>131</v>
      </c>
      <c r="E760" s="198" t="s">
        <v>529</v>
      </c>
      <c r="F760" s="198">
        <v>300</v>
      </c>
      <c r="G760" s="32">
        <f>G761</f>
        <v>80.66</v>
      </c>
      <c r="H760" s="32">
        <f t="shared" ref="H760:I760" si="372">H761</f>
        <v>80.66</v>
      </c>
      <c r="I760" s="32">
        <f t="shared" si="372"/>
        <v>80.662000000000006</v>
      </c>
      <c r="J760" s="224"/>
      <c r="K760" s="224"/>
      <c r="L760" s="224"/>
      <c r="M760" s="226"/>
      <c r="N760" s="226"/>
      <c r="O760" s="226"/>
      <c r="P760" s="225">
        <f t="shared" si="350"/>
        <v>100.00247954376395</v>
      </c>
    </row>
    <row r="761" spans="1:16" x14ac:dyDescent="0.25">
      <c r="A761" s="198">
        <v>749</v>
      </c>
      <c r="B761" s="208" t="s">
        <v>83</v>
      </c>
      <c r="C761" s="195" t="s">
        <v>527</v>
      </c>
      <c r="D761" s="195" t="s">
        <v>131</v>
      </c>
      <c r="E761" s="198" t="s">
        <v>529</v>
      </c>
      <c r="F761" s="198">
        <v>320</v>
      </c>
      <c r="G761" s="32">
        <v>80.66</v>
      </c>
      <c r="H761" s="32">
        <v>80.66</v>
      </c>
      <c r="I761" s="32">
        <v>80.662000000000006</v>
      </c>
      <c r="J761" s="224"/>
      <c r="K761" s="224"/>
      <c r="L761" s="224"/>
      <c r="M761" s="226"/>
      <c r="N761" s="226"/>
      <c r="O761" s="226"/>
      <c r="P761" s="225">
        <f t="shared" si="350"/>
        <v>100.00247954376395</v>
      </c>
    </row>
    <row r="762" spans="1:16" x14ac:dyDescent="0.25">
      <c r="A762" s="198">
        <v>750</v>
      </c>
      <c r="B762" s="208" t="s">
        <v>33</v>
      </c>
      <c r="C762" s="195" t="s">
        <v>527</v>
      </c>
      <c r="D762" s="195" t="s">
        <v>131</v>
      </c>
      <c r="E762" s="198" t="s">
        <v>529</v>
      </c>
      <c r="F762" s="198">
        <v>800</v>
      </c>
      <c r="G762" s="32">
        <f>G763</f>
        <v>0.5</v>
      </c>
      <c r="H762" s="32">
        <f t="shared" ref="H762:I762" si="373">H763</f>
        <v>0.5</v>
      </c>
      <c r="I762" s="32">
        <f t="shared" si="373"/>
        <v>0.5</v>
      </c>
      <c r="J762" s="224"/>
      <c r="K762" s="224"/>
      <c r="L762" s="224"/>
      <c r="M762" s="226"/>
      <c r="N762" s="226"/>
      <c r="O762" s="226"/>
      <c r="P762" s="225">
        <f t="shared" si="350"/>
        <v>100</v>
      </c>
    </row>
    <row r="763" spans="1:16" x14ac:dyDescent="0.25">
      <c r="A763" s="198">
        <v>751</v>
      </c>
      <c r="B763" s="208" t="s">
        <v>82</v>
      </c>
      <c r="C763" s="195" t="s">
        <v>527</v>
      </c>
      <c r="D763" s="195" t="s">
        <v>131</v>
      </c>
      <c r="E763" s="198" t="s">
        <v>529</v>
      </c>
      <c r="F763" s="198">
        <v>850</v>
      </c>
      <c r="G763" s="32">
        <v>0.5</v>
      </c>
      <c r="H763" s="32">
        <v>0.5</v>
      </c>
      <c r="I763" s="32">
        <v>0.5</v>
      </c>
      <c r="J763" s="224"/>
      <c r="K763" s="224"/>
      <c r="L763" s="224"/>
      <c r="M763" s="226"/>
      <c r="N763" s="226"/>
      <c r="O763" s="226"/>
      <c r="P763" s="225">
        <f t="shared" si="350"/>
        <v>100</v>
      </c>
    </row>
    <row r="764" spans="1:16" ht="30" customHeight="1" x14ac:dyDescent="0.25">
      <c r="A764" s="198">
        <v>752</v>
      </c>
      <c r="B764" s="237" t="s">
        <v>243</v>
      </c>
      <c r="C764" s="49">
        <v>955</v>
      </c>
      <c r="D764" s="48"/>
      <c r="E764" s="48"/>
      <c r="F764" s="48"/>
      <c r="G764" s="51">
        <f>G765</f>
        <v>2015.91</v>
      </c>
      <c r="H764" s="51">
        <f t="shared" ref="H764:I764" si="374">H765</f>
        <v>2015.91</v>
      </c>
      <c r="I764" s="51">
        <f t="shared" si="374"/>
        <v>2011.91</v>
      </c>
      <c r="J764" s="224"/>
      <c r="K764" s="224"/>
      <c r="L764" s="224"/>
      <c r="M764" s="226"/>
      <c r="N764" s="226"/>
      <c r="O764" s="226"/>
      <c r="P764" s="225">
        <f t="shared" si="350"/>
        <v>99.8015784434821</v>
      </c>
    </row>
    <row r="765" spans="1:16" x14ac:dyDescent="0.25">
      <c r="A765" s="198">
        <v>753</v>
      </c>
      <c r="B765" s="62" t="s">
        <v>87</v>
      </c>
      <c r="C765" s="195">
        <v>955</v>
      </c>
      <c r="D765" s="195" t="s">
        <v>88</v>
      </c>
      <c r="E765" s="198"/>
      <c r="F765" s="198"/>
      <c r="G765" s="32">
        <f>G766</f>
        <v>2015.91</v>
      </c>
      <c r="H765" s="32">
        <f t="shared" ref="H765:I767" si="375">H766</f>
        <v>2015.91</v>
      </c>
      <c r="I765" s="32">
        <f t="shared" si="375"/>
        <v>2011.91</v>
      </c>
      <c r="J765" s="224"/>
      <c r="K765" s="224"/>
      <c r="L765" s="224"/>
      <c r="M765" s="226"/>
      <c r="N765" s="226"/>
      <c r="O765" s="226"/>
      <c r="P765" s="225">
        <f t="shared" si="350"/>
        <v>99.8015784434821</v>
      </c>
    </row>
    <row r="766" spans="1:16" ht="30" x14ac:dyDescent="0.25">
      <c r="A766" s="198">
        <v>754</v>
      </c>
      <c r="B766" s="208" t="s">
        <v>13</v>
      </c>
      <c r="C766" s="195">
        <v>955</v>
      </c>
      <c r="D766" s="195" t="s">
        <v>94</v>
      </c>
      <c r="E766" s="198"/>
      <c r="F766" s="198"/>
      <c r="G766" s="32">
        <f>G767</f>
        <v>2015.91</v>
      </c>
      <c r="H766" s="32">
        <f t="shared" si="375"/>
        <v>2015.91</v>
      </c>
      <c r="I766" s="32">
        <f t="shared" si="375"/>
        <v>2011.91</v>
      </c>
      <c r="J766" s="224"/>
      <c r="K766" s="224"/>
      <c r="L766" s="224"/>
      <c r="M766" s="226"/>
      <c r="N766" s="226"/>
      <c r="O766" s="226"/>
      <c r="P766" s="225">
        <f t="shared" si="350"/>
        <v>99.8015784434821</v>
      </c>
    </row>
    <row r="767" spans="1:16" x14ac:dyDescent="0.25">
      <c r="A767" s="198">
        <v>755</v>
      </c>
      <c r="B767" s="208" t="s">
        <v>289</v>
      </c>
      <c r="C767" s="195">
        <v>955</v>
      </c>
      <c r="D767" s="195" t="s">
        <v>94</v>
      </c>
      <c r="E767" s="198">
        <v>8200000000</v>
      </c>
      <c r="F767" s="198"/>
      <c r="G767" s="32">
        <f>G768</f>
        <v>2015.91</v>
      </c>
      <c r="H767" s="32">
        <f t="shared" si="375"/>
        <v>2015.91</v>
      </c>
      <c r="I767" s="32">
        <f t="shared" si="375"/>
        <v>2011.91</v>
      </c>
      <c r="J767" s="224"/>
      <c r="K767" s="224"/>
      <c r="L767" s="224"/>
      <c r="M767" s="226"/>
      <c r="N767" s="226"/>
      <c r="O767" s="226"/>
      <c r="P767" s="225">
        <f t="shared" si="350"/>
        <v>99.8015784434821</v>
      </c>
    </row>
    <row r="768" spans="1:16" x14ac:dyDescent="0.25">
      <c r="A768" s="198">
        <v>756</v>
      </c>
      <c r="B768" s="203" t="s">
        <v>290</v>
      </c>
      <c r="C768" s="195">
        <v>955</v>
      </c>
      <c r="D768" s="195" t="s">
        <v>94</v>
      </c>
      <c r="E768" s="198">
        <v>8210000000</v>
      </c>
      <c r="F768" s="198"/>
      <c r="G768" s="32">
        <f>G769+G779+G776</f>
        <v>2015.91</v>
      </c>
      <c r="H768" s="32">
        <f t="shared" ref="H768:I768" si="376">H769+H779+H776</f>
        <v>2015.91</v>
      </c>
      <c r="I768" s="32">
        <f t="shared" si="376"/>
        <v>2011.91</v>
      </c>
      <c r="J768" s="224"/>
      <c r="K768" s="224"/>
      <c r="L768" s="224"/>
      <c r="M768" s="226"/>
      <c r="N768" s="226"/>
      <c r="O768" s="226"/>
      <c r="P768" s="225">
        <f t="shared" si="350"/>
        <v>99.8015784434821</v>
      </c>
    </row>
    <row r="769" spans="1:16" x14ac:dyDescent="0.25">
      <c r="A769" s="198">
        <v>757</v>
      </c>
      <c r="B769" s="208" t="s">
        <v>77</v>
      </c>
      <c r="C769" s="195">
        <v>955</v>
      </c>
      <c r="D769" s="195" t="s">
        <v>94</v>
      </c>
      <c r="E769" s="198">
        <v>8210000210</v>
      </c>
      <c r="F769" s="198"/>
      <c r="G769" s="32">
        <f>G770+G772+G774</f>
        <v>1806.3400000000001</v>
      </c>
      <c r="H769" s="32">
        <f t="shared" ref="H769:I769" si="377">H770+H772+H774</f>
        <v>1806.3400000000001</v>
      </c>
      <c r="I769" s="32">
        <f t="shared" si="377"/>
        <v>1802.3400000000001</v>
      </c>
      <c r="J769" s="224"/>
      <c r="K769" s="224"/>
      <c r="L769" s="224"/>
      <c r="M769" s="226"/>
      <c r="N769" s="226"/>
      <c r="O769" s="226"/>
      <c r="P769" s="225">
        <f t="shared" si="350"/>
        <v>99.778557746603624</v>
      </c>
    </row>
    <row r="770" spans="1:16" ht="45" x14ac:dyDescent="0.25">
      <c r="A770" s="198">
        <v>758</v>
      </c>
      <c r="B770" s="208" t="s">
        <v>16</v>
      </c>
      <c r="C770" s="195">
        <v>955</v>
      </c>
      <c r="D770" s="195" t="s">
        <v>94</v>
      </c>
      <c r="E770" s="198">
        <v>8210000210</v>
      </c>
      <c r="F770" s="198">
        <v>100</v>
      </c>
      <c r="G770" s="32">
        <f>G771</f>
        <v>1676.13</v>
      </c>
      <c r="H770" s="32">
        <f t="shared" ref="H770:I770" si="378">H771</f>
        <v>1676.13</v>
      </c>
      <c r="I770" s="32">
        <f t="shared" si="378"/>
        <v>1673.13</v>
      </c>
      <c r="J770" s="224"/>
      <c r="K770" s="224"/>
      <c r="L770" s="224"/>
      <c r="M770" s="226"/>
      <c r="N770" s="226"/>
      <c r="O770" s="226"/>
      <c r="P770" s="225">
        <f t="shared" si="350"/>
        <v>99.821016269621083</v>
      </c>
    </row>
    <row r="771" spans="1:16" x14ac:dyDescent="0.25">
      <c r="A771" s="198">
        <v>759</v>
      </c>
      <c r="B771" s="208" t="s">
        <v>17</v>
      </c>
      <c r="C771" s="195">
        <v>955</v>
      </c>
      <c r="D771" s="195" t="s">
        <v>94</v>
      </c>
      <c r="E771" s="198">
        <v>8210000210</v>
      </c>
      <c r="F771" s="198">
        <v>120</v>
      </c>
      <c r="G771" s="32">
        <v>1676.13</v>
      </c>
      <c r="H771" s="32">
        <v>1676.13</v>
      </c>
      <c r="I771" s="32">
        <v>1673.13</v>
      </c>
      <c r="J771" s="224">
        <v>-30</v>
      </c>
      <c r="K771" s="224">
        <v>13.4</v>
      </c>
      <c r="L771" s="224"/>
      <c r="M771" s="226"/>
      <c r="N771" s="226"/>
      <c r="O771" s="226"/>
      <c r="P771" s="225">
        <f t="shared" si="350"/>
        <v>99.821016269621083</v>
      </c>
    </row>
    <row r="772" spans="1:16" x14ac:dyDescent="0.25">
      <c r="A772" s="198">
        <v>760</v>
      </c>
      <c r="B772" s="208" t="s">
        <v>21</v>
      </c>
      <c r="C772" s="195">
        <v>955</v>
      </c>
      <c r="D772" s="195" t="s">
        <v>94</v>
      </c>
      <c r="E772" s="198">
        <v>8210000210</v>
      </c>
      <c r="F772" s="198">
        <v>200</v>
      </c>
      <c r="G772" s="32">
        <f>G773</f>
        <v>129.21</v>
      </c>
      <c r="H772" s="32">
        <f t="shared" ref="H772:I772" si="379">H773</f>
        <v>129.21</v>
      </c>
      <c r="I772" s="32">
        <f t="shared" si="379"/>
        <v>129.21</v>
      </c>
      <c r="J772" s="224"/>
      <c r="K772" s="224"/>
      <c r="L772" s="224"/>
      <c r="M772" s="226"/>
      <c r="N772" s="226"/>
      <c r="O772" s="226"/>
      <c r="P772" s="225">
        <f t="shared" si="350"/>
        <v>100</v>
      </c>
    </row>
    <row r="773" spans="1:16" x14ac:dyDescent="0.25">
      <c r="A773" s="198">
        <v>761</v>
      </c>
      <c r="B773" s="208" t="s">
        <v>22</v>
      </c>
      <c r="C773" s="195">
        <v>955</v>
      </c>
      <c r="D773" s="195" t="s">
        <v>94</v>
      </c>
      <c r="E773" s="198">
        <v>8210000210</v>
      </c>
      <c r="F773" s="198">
        <v>240</v>
      </c>
      <c r="G773" s="32">
        <f>160.21-1-30</f>
        <v>129.21</v>
      </c>
      <c r="H773" s="32">
        <v>129.21</v>
      </c>
      <c r="I773" s="32">
        <v>129.21</v>
      </c>
      <c r="J773" s="224">
        <v>-30</v>
      </c>
      <c r="K773" s="224"/>
      <c r="L773" s="224"/>
      <c r="M773" s="226"/>
      <c r="N773" s="226"/>
      <c r="O773" s="226"/>
      <c r="P773" s="225">
        <f t="shared" si="350"/>
        <v>100</v>
      </c>
    </row>
    <row r="774" spans="1:16" x14ac:dyDescent="0.25">
      <c r="A774" s="198">
        <v>762</v>
      </c>
      <c r="B774" s="208" t="s">
        <v>33</v>
      </c>
      <c r="C774" s="195">
        <v>955</v>
      </c>
      <c r="D774" s="195" t="s">
        <v>94</v>
      </c>
      <c r="E774" s="198">
        <v>8210000210</v>
      </c>
      <c r="F774" s="198">
        <v>800</v>
      </c>
      <c r="G774" s="32">
        <f>G775</f>
        <v>1</v>
      </c>
      <c r="H774" s="32">
        <f t="shared" ref="H774:I774" si="380">H775</f>
        <v>1</v>
      </c>
      <c r="I774" s="32">
        <f t="shared" si="380"/>
        <v>0</v>
      </c>
      <c r="J774" s="224"/>
      <c r="K774" s="224"/>
      <c r="L774" s="224"/>
      <c r="M774" s="226"/>
      <c r="N774" s="226"/>
      <c r="O774" s="226"/>
      <c r="P774" s="225">
        <f t="shared" si="350"/>
        <v>0</v>
      </c>
    </row>
    <row r="775" spans="1:16" x14ac:dyDescent="0.25">
      <c r="A775" s="198">
        <v>763</v>
      </c>
      <c r="B775" s="208" t="s">
        <v>82</v>
      </c>
      <c r="C775" s="195">
        <v>955</v>
      </c>
      <c r="D775" s="195" t="s">
        <v>94</v>
      </c>
      <c r="E775" s="198">
        <v>8210000210</v>
      </c>
      <c r="F775" s="198">
        <v>850</v>
      </c>
      <c r="G775" s="32">
        <v>1</v>
      </c>
      <c r="H775" s="32">
        <v>1</v>
      </c>
      <c r="I775" s="32">
        <v>0</v>
      </c>
      <c r="J775" s="224"/>
      <c r="K775" s="224"/>
      <c r="L775" s="224"/>
      <c r="M775" s="226"/>
      <c r="N775" s="226"/>
      <c r="O775" s="226"/>
      <c r="P775" s="225">
        <f t="shared" si="350"/>
        <v>0</v>
      </c>
    </row>
    <row r="776" spans="1:16" ht="30" x14ac:dyDescent="0.25">
      <c r="A776" s="198">
        <v>764</v>
      </c>
      <c r="B776" s="208" t="s">
        <v>557</v>
      </c>
      <c r="C776" s="195" t="s">
        <v>502</v>
      </c>
      <c r="D776" s="195" t="s">
        <v>94</v>
      </c>
      <c r="E776" s="198">
        <v>8210010350</v>
      </c>
      <c r="F776" s="198"/>
      <c r="G776" s="32">
        <f>G777</f>
        <v>17.18</v>
      </c>
      <c r="H776" s="32">
        <f t="shared" ref="H776:I777" si="381">H777</f>
        <v>17.18</v>
      </c>
      <c r="I776" s="32">
        <f t="shared" si="381"/>
        <v>17.18</v>
      </c>
      <c r="J776" s="224"/>
      <c r="K776" s="224"/>
      <c r="L776" s="224"/>
      <c r="M776" s="226"/>
      <c r="N776" s="226"/>
      <c r="O776" s="226"/>
      <c r="P776" s="225">
        <f t="shared" si="350"/>
        <v>100</v>
      </c>
    </row>
    <row r="777" spans="1:16" ht="45" x14ac:dyDescent="0.25">
      <c r="A777" s="198">
        <v>765</v>
      </c>
      <c r="B777" s="208" t="s">
        <v>16</v>
      </c>
      <c r="C777" s="195" t="s">
        <v>502</v>
      </c>
      <c r="D777" s="195" t="s">
        <v>94</v>
      </c>
      <c r="E777" s="198">
        <v>8210010350</v>
      </c>
      <c r="F777" s="198">
        <v>100</v>
      </c>
      <c r="G777" s="32">
        <f>G778</f>
        <v>17.18</v>
      </c>
      <c r="H777" s="32">
        <f t="shared" si="381"/>
        <v>17.18</v>
      </c>
      <c r="I777" s="32">
        <f t="shared" si="381"/>
        <v>17.18</v>
      </c>
      <c r="J777" s="224"/>
      <c r="K777" s="224"/>
      <c r="L777" s="224"/>
      <c r="M777" s="226"/>
      <c r="N777" s="226"/>
      <c r="O777" s="226"/>
      <c r="P777" s="225">
        <f t="shared" si="350"/>
        <v>100</v>
      </c>
    </row>
    <row r="778" spans="1:16" x14ac:dyDescent="0.25">
      <c r="A778" s="198">
        <v>766</v>
      </c>
      <c r="B778" s="208" t="s">
        <v>17</v>
      </c>
      <c r="C778" s="195" t="s">
        <v>502</v>
      </c>
      <c r="D778" s="195" t="s">
        <v>94</v>
      </c>
      <c r="E778" s="198">
        <v>8210010350</v>
      </c>
      <c r="F778" s="198">
        <v>120</v>
      </c>
      <c r="G778" s="32">
        <v>17.18</v>
      </c>
      <c r="H778" s="32">
        <v>17.18</v>
      </c>
      <c r="I778" s="32">
        <v>17.18</v>
      </c>
      <c r="J778" s="224"/>
      <c r="K778" s="224"/>
      <c r="L778" s="224"/>
      <c r="M778" s="226"/>
      <c r="N778" s="226"/>
      <c r="O778" s="226"/>
      <c r="P778" s="225">
        <f t="shared" si="350"/>
        <v>100</v>
      </c>
    </row>
    <row r="779" spans="1:16" ht="30" x14ac:dyDescent="0.25">
      <c r="A779" s="198">
        <v>767</v>
      </c>
      <c r="B779" s="208" t="s">
        <v>491</v>
      </c>
      <c r="C779" s="195" t="s">
        <v>502</v>
      </c>
      <c r="D779" s="195" t="s">
        <v>94</v>
      </c>
      <c r="E779" s="198">
        <v>8210010360</v>
      </c>
      <c r="F779" s="198"/>
      <c r="G779" s="32">
        <f>G780</f>
        <v>192.39</v>
      </c>
      <c r="H779" s="32">
        <f t="shared" ref="H779:I780" si="382">H780</f>
        <v>192.39</v>
      </c>
      <c r="I779" s="32">
        <f t="shared" si="382"/>
        <v>192.39</v>
      </c>
      <c r="J779" s="224"/>
      <c r="K779" s="224"/>
      <c r="L779" s="224"/>
      <c r="M779" s="226"/>
      <c r="N779" s="226"/>
      <c r="O779" s="226"/>
      <c r="P779" s="225">
        <f t="shared" si="350"/>
        <v>100</v>
      </c>
    </row>
    <row r="780" spans="1:16" ht="45" x14ac:dyDescent="0.25">
      <c r="A780" s="198">
        <v>768</v>
      </c>
      <c r="B780" s="208" t="s">
        <v>16</v>
      </c>
      <c r="C780" s="195" t="s">
        <v>502</v>
      </c>
      <c r="D780" s="195" t="s">
        <v>94</v>
      </c>
      <c r="E780" s="198">
        <v>8210010360</v>
      </c>
      <c r="F780" s="198">
        <v>100</v>
      </c>
      <c r="G780" s="32">
        <f>G781</f>
        <v>192.39</v>
      </c>
      <c r="H780" s="32">
        <f t="shared" si="382"/>
        <v>192.39</v>
      </c>
      <c r="I780" s="32">
        <f t="shared" si="382"/>
        <v>192.39</v>
      </c>
      <c r="J780" s="224"/>
      <c r="K780" s="224"/>
      <c r="L780" s="224"/>
      <c r="M780" s="226"/>
      <c r="N780" s="226"/>
      <c r="O780" s="226"/>
      <c r="P780" s="225">
        <f t="shared" si="350"/>
        <v>100</v>
      </c>
    </row>
    <row r="781" spans="1:16" x14ac:dyDescent="0.25">
      <c r="A781" s="198">
        <v>769</v>
      </c>
      <c r="B781" s="208" t="s">
        <v>17</v>
      </c>
      <c r="C781" s="195" t="s">
        <v>502</v>
      </c>
      <c r="D781" s="195" t="s">
        <v>94</v>
      </c>
      <c r="E781" s="198">
        <v>8210010360</v>
      </c>
      <c r="F781" s="198">
        <v>120</v>
      </c>
      <c r="G781" s="32">
        <v>192.39</v>
      </c>
      <c r="H781" s="32">
        <v>192.39</v>
      </c>
      <c r="I781" s="32">
        <v>192.39</v>
      </c>
      <c r="J781" s="224">
        <v>192.39</v>
      </c>
      <c r="K781" s="224"/>
      <c r="L781" s="224"/>
      <c r="M781" s="226"/>
      <c r="N781" s="226"/>
      <c r="O781" s="226"/>
      <c r="P781" s="225">
        <f t="shared" si="350"/>
        <v>100</v>
      </c>
    </row>
    <row r="782" spans="1:16" ht="33.75" customHeight="1" x14ac:dyDescent="0.25">
      <c r="A782" s="198">
        <v>770</v>
      </c>
      <c r="B782" s="237" t="s">
        <v>244</v>
      </c>
      <c r="C782" s="49">
        <v>957</v>
      </c>
      <c r="D782" s="48"/>
      <c r="E782" s="48"/>
      <c r="F782" s="48"/>
      <c r="G782" s="51">
        <f>G783</f>
        <v>5060.22</v>
      </c>
      <c r="H782" s="51">
        <f t="shared" ref="H782:I785" si="383">H783</f>
        <v>5060.22</v>
      </c>
      <c r="I782" s="51">
        <f t="shared" si="383"/>
        <v>4771.2869999999994</v>
      </c>
      <c r="J782" s="224"/>
      <c r="K782" s="224"/>
      <c r="L782" s="224"/>
      <c r="M782" s="226"/>
      <c r="N782" s="226"/>
      <c r="O782" s="226"/>
      <c r="P782" s="225">
        <f t="shared" ref="P782:P809" si="384">I782/H782*100</f>
        <v>94.290109916169641</v>
      </c>
    </row>
    <row r="783" spans="1:16" x14ac:dyDescent="0.25">
      <c r="A783" s="198">
        <v>771</v>
      </c>
      <c r="B783" s="62" t="s">
        <v>87</v>
      </c>
      <c r="C783" s="195">
        <v>957</v>
      </c>
      <c r="D783" s="195" t="s">
        <v>88</v>
      </c>
      <c r="E783" s="198"/>
      <c r="F783" s="198"/>
      <c r="G783" s="32">
        <f>G784</f>
        <v>5060.22</v>
      </c>
      <c r="H783" s="32">
        <f t="shared" si="383"/>
        <v>5060.22</v>
      </c>
      <c r="I783" s="32">
        <f t="shared" si="383"/>
        <v>4771.2869999999994</v>
      </c>
      <c r="J783" s="224"/>
      <c r="K783" s="224"/>
      <c r="L783" s="224"/>
      <c r="M783" s="226"/>
      <c r="N783" s="226"/>
      <c r="O783" s="226"/>
      <c r="P783" s="225">
        <f t="shared" si="384"/>
        <v>94.290109916169641</v>
      </c>
    </row>
    <row r="784" spans="1:16" ht="30" x14ac:dyDescent="0.25">
      <c r="A784" s="198">
        <v>772</v>
      </c>
      <c r="B784" s="208" t="s">
        <v>91</v>
      </c>
      <c r="C784" s="195">
        <v>957</v>
      </c>
      <c r="D784" s="195" t="s">
        <v>92</v>
      </c>
      <c r="E784" s="198"/>
      <c r="F784" s="198"/>
      <c r="G784" s="32">
        <f>G785</f>
        <v>5060.22</v>
      </c>
      <c r="H784" s="32">
        <f t="shared" si="383"/>
        <v>5060.22</v>
      </c>
      <c r="I784" s="32">
        <f t="shared" si="383"/>
        <v>4771.2869999999994</v>
      </c>
      <c r="J784" s="224"/>
      <c r="K784" s="224"/>
      <c r="L784" s="224"/>
      <c r="M784" s="226"/>
      <c r="N784" s="226"/>
      <c r="O784" s="226"/>
      <c r="P784" s="225">
        <f t="shared" si="384"/>
        <v>94.290109916169641</v>
      </c>
    </row>
    <row r="785" spans="1:16" x14ac:dyDescent="0.25">
      <c r="A785" s="198">
        <v>773</v>
      </c>
      <c r="B785" s="208" t="s">
        <v>340</v>
      </c>
      <c r="C785" s="195">
        <v>957</v>
      </c>
      <c r="D785" s="195" t="s">
        <v>92</v>
      </c>
      <c r="E785" s="198">
        <v>8100000000</v>
      </c>
      <c r="F785" s="198"/>
      <c r="G785" s="32">
        <f>G786</f>
        <v>5060.22</v>
      </c>
      <c r="H785" s="32">
        <f t="shared" si="383"/>
        <v>5060.22</v>
      </c>
      <c r="I785" s="32">
        <f t="shared" si="383"/>
        <v>4771.2869999999994</v>
      </c>
      <c r="J785" s="224"/>
      <c r="K785" s="224"/>
      <c r="L785" s="224"/>
      <c r="M785" s="226"/>
      <c r="N785" s="226"/>
      <c r="O785" s="226"/>
      <c r="P785" s="225">
        <f t="shared" si="384"/>
        <v>94.290109916169641</v>
      </c>
    </row>
    <row r="786" spans="1:16" x14ac:dyDescent="0.25">
      <c r="A786" s="198">
        <v>774</v>
      </c>
      <c r="B786" s="203" t="s">
        <v>291</v>
      </c>
      <c r="C786" s="195">
        <v>957</v>
      </c>
      <c r="D786" s="195" t="s">
        <v>92</v>
      </c>
      <c r="E786" s="198">
        <v>8110000000</v>
      </c>
      <c r="F786" s="198"/>
      <c r="G786" s="32">
        <f>G787+G797+G800+G794+G806+G803</f>
        <v>5060.22</v>
      </c>
      <c r="H786" s="32">
        <f t="shared" ref="H786:I786" si="385">H787+H797+H800+H794+H806+H803</f>
        <v>5060.22</v>
      </c>
      <c r="I786" s="32">
        <f t="shared" si="385"/>
        <v>4771.2869999999994</v>
      </c>
      <c r="J786" s="224"/>
      <c r="K786" s="224"/>
      <c r="L786" s="224"/>
      <c r="M786" s="226"/>
      <c r="N786" s="226"/>
      <c r="O786" s="226"/>
      <c r="P786" s="225">
        <f t="shared" si="384"/>
        <v>94.290109916169641</v>
      </c>
    </row>
    <row r="787" spans="1:16" ht="45" x14ac:dyDescent="0.25">
      <c r="A787" s="198">
        <v>775</v>
      </c>
      <c r="B787" s="199" t="s">
        <v>343</v>
      </c>
      <c r="C787" s="195">
        <v>957</v>
      </c>
      <c r="D787" s="195" t="s">
        <v>92</v>
      </c>
      <c r="E787" s="198">
        <v>8110000210</v>
      </c>
      <c r="F787" s="198"/>
      <c r="G787" s="32">
        <f>G788+G790+G792</f>
        <v>1856.0099999999998</v>
      </c>
      <c r="H787" s="32">
        <f t="shared" ref="H787:I787" si="386">H788+H790+H792</f>
        <v>1856.0099999999998</v>
      </c>
      <c r="I787" s="32">
        <f t="shared" si="386"/>
        <v>1790.8519999999999</v>
      </c>
      <c r="J787" s="224"/>
      <c r="K787" s="224"/>
      <c r="L787" s="224"/>
      <c r="M787" s="226"/>
      <c r="N787" s="226"/>
      <c r="O787" s="226"/>
      <c r="P787" s="225">
        <f t="shared" si="384"/>
        <v>96.489350811687444</v>
      </c>
    </row>
    <row r="788" spans="1:16" ht="45" x14ac:dyDescent="0.25">
      <c r="A788" s="198">
        <v>776</v>
      </c>
      <c r="B788" s="208" t="s">
        <v>16</v>
      </c>
      <c r="C788" s="195">
        <v>957</v>
      </c>
      <c r="D788" s="195" t="s">
        <v>92</v>
      </c>
      <c r="E788" s="198">
        <v>8110000210</v>
      </c>
      <c r="F788" s="198">
        <v>100</v>
      </c>
      <c r="G788" s="32">
        <f>G789</f>
        <v>1093.3399999999999</v>
      </c>
      <c r="H788" s="32">
        <f t="shared" ref="H788:I788" si="387">H789</f>
        <v>1093.3399999999999</v>
      </c>
      <c r="I788" s="32">
        <f t="shared" si="387"/>
        <v>1036.1869999999999</v>
      </c>
      <c r="J788" s="224"/>
      <c r="K788" s="224"/>
      <c r="L788" s="224"/>
      <c r="M788" s="226"/>
      <c r="N788" s="226"/>
      <c r="O788" s="226"/>
      <c r="P788" s="225">
        <f t="shared" si="384"/>
        <v>94.77262333766258</v>
      </c>
    </row>
    <row r="789" spans="1:16" x14ac:dyDescent="0.25">
      <c r="A789" s="198">
        <v>777</v>
      </c>
      <c r="B789" s="208" t="s">
        <v>17</v>
      </c>
      <c r="C789" s="195">
        <v>957</v>
      </c>
      <c r="D789" s="195" t="s">
        <v>92</v>
      </c>
      <c r="E789" s="198">
        <v>8110000210</v>
      </c>
      <c r="F789" s="198">
        <v>120</v>
      </c>
      <c r="G789" s="32">
        <f>1736.28+99.1-400.04-60-282</f>
        <v>1093.3399999999999</v>
      </c>
      <c r="H789" s="32">
        <v>1093.3399999999999</v>
      </c>
      <c r="I789" s="32">
        <v>1036.1869999999999</v>
      </c>
      <c r="J789" s="224">
        <v>-60</v>
      </c>
      <c r="K789" s="224"/>
      <c r="L789" s="224"/>
      <c r="M789" s="226"/>
      <c r="N789" s="226"/>
      <c r="O789" s="226"/>
      <c r="P789" s="225">
        <f t="shared" si="384"/>
        <v>94.77262333766258</v>
      </c>
    </row>
    <row r="790" spans="1:16" x14ac:dyDescent="0.25">
      <c r="A790" s="198">
        <v>778</v>
      </c>
      <c r="B790" s="208" t="s">
        <v>21</v>
      </c>
      <c r="C790" s="195">
        <v>957</v>
      </c>
      <c r="D790" s="195" t="s">
        <v>92</v>
      </c>
      <c r="E790" s="198">
        <v>8110000210</v>
      </c>
      <c r="F790" s="198">
        <v>200</v>
      </c>
      <c r="G790" s="32">
        <f>G791</f>
        <v>759.67</v>
      </c>
      <c r="H790" s="32">
        <f t="shared" ref="H790:I790" si="388">H791</f>
        <v>759.67</v>
      </c>
      <c r="I790" s="32">
        <f t="shared" si="388"/>
        <v>754.66499999999996</v>
      </c>
      <c r="J790" s="224"/>
      <c r="K790" s="224"/>
      <c r="L790" s="224"/>
      <c r="M790" s="226"/>
      <c r="N790" s="226"/>
      <c r="O790" s="226"/>
      <c r="P790" s="225">
        <f t="shared" si="384"/>
        <v>99.341161293719637</v>
      </c>
    </row>
    <row r="791" spans="1:16" x14ac:dyDescent="0.25">
      <c r="A791" s="198">
        <v>779</v>
      </c>
      <c r="B791" s="208" t="s">
        <v>22</v>
      </c>
      <c r="C791" s="195">
        <v>957</v>
      </c>
      <c r="D791" s="195" t="s">
        <v>92</v>
      </c>
      <c r="E791" s="198">
        <v>8110000210</v>
      </c>
      <c r="F791" s="198">
        <v>240</v>
      </c>
      <c r="G791" s="32">
        <f>1971.87-3-252-850-13.4-93.8</f>
        <v>759.67</v>
      </c>
      <c r="H791" s="32">
        <v>759.67</v>
      </c>
      <c r="I791" s="32">
        <v>754.66499999999996</v>
      </c>
      <c r="J791" s="224">
        <v>-3</v>
      </c>
      <c r="K791" s="224">
        <v>-252</v>
      </c>
      <c r="L791" s="224">
        <v>-850</v>
      </c>
      <c r="M791" s="226">
        <v>-13.4</v>
      </c>
      <c r="N791" s="226"/>
      <c r="O791" s="226"/>
      <c r="P791" s="225">
        <f t="shared" si="384"/>
        <v>99.341161293719637</v>
      </c>
    </row>
    <row r="792" spans="1:16" x14ac:dyDescent="0.25">
      <c r="A792" s="198">
        <v>780</v>
      </c>
      <c r="B792" s="208" t="s">
        <v>33</v>
      </c>
      <c r="C792" s="195">
        <v>957</v>
      </c>
      <c r="D792" s="195" t="s">
        <v>92</v>
      </c>
      <c r="E792" s="198">
        <v>8110000210</v>
      </c>
      <c r="F792" s="198">
        <v>800</v>
      </c>
      <c r="G792" s="32">
        <f>G793</f>
        <v>3</v>
      </c>
      <c r="H792" s="32">
        <f t="shared" ref="H792:I792" si="389">H793</f>
        <v>3</v>
      </c>
      <c r="I792" s="32">
        <f t="shared" si="389"/>
        <v>0</v>
      </c>
      <c r="J792" s="224"/>
      <c r="K792" s="224"/>
      <c r="L792" s="224"/>
      <c r="M792" s="226"/>
      <c r="N792" s="226"/>
      <c r="O792" s="226"/>
      <c r="P792" s="225">
        <f t="shared" si="384"/>
        <v>0</v>
      </c>
    </row>
    <row r="793" spans="1:16" x14ac:dyDescent="0.25">
      <c r="A793" s="198">
        <v>781</v>
      </c>
      <c r="B793" s="208" t="s">
        <v>82</v>
      </c>
      <c r="C793" s="195">
        <v>957</v>
      </c>
      <c r="D793" s="195" t="s">
        <v>92</v>
      </c>
      <c r="E793" s="198">
        <v>8110000210</v>
      </c>
      <c r="F793" s="198">
        <v>850</v>
      </c>
      <c r="G793" s="32">
        <v>3</v>
      </c>
      <c r="H793" s="32">
        <v>3</v>
      </c>
      <c r="I793" s="32">
        <v>0</v>
      </c>
      <c r="J793" s="224">
        <v>3</v>
      </c>
      <c r="K793" s="224"/>
      <c r="L793" s="224"/>
      <c r="M793" s="226"/>
      <c r="N793" s="226"/>
      <c r="O793" s="226"/>
      <c r="P793" s="225">
        <f t="shared" si="384"/>
        <v>0</v>
      </c>
    </row>
    <row r="794" spans="1:16" ht="45" x14ac:dyDescent="0.25">
      <c r="A794" s="198">
        <v>782</v>
      </c>
      <c r="B794" s="199" t="s">
        <v>344</v>
      </c>
      <c r="C794" s="195" t="s">
        <v>342</v>
      </c>
      <c r="D794" s="195" t="s">
        <v>92</v>
      </c>
      <c r="E794" s="198">
        <v>8110000220</v>
      </c>
      <c r="F794" s="198"/>
      <c r="G794" s="32">
        <f>G795</f>
        <v>400.04</v>
      </c>
      <c r="H794" s="32">
        <f t="shared" ref="H794:I795" si="390">H795</f>
        <v>400.04</v>
      </c>
      <c r="I794" s="32">
        <f t="shared" si="390"/>
        <v>397.02699999999999</v>
      </c>
      <c r="J794" s="224"/>
      <c r="K794" s="224"/>
      <c r="L794" s="224"/>
      <c r="M794" s="226"/>
      <c r="N794" s="226"/>
      <c r="O794" s="226"/>
      <c r="P794" s="225">
        <f t="shared" si="384"/>
        <v>99.24682531746825</v>
      </c>
    </row>
    <row r="795" spans="1:16" ht="45" x14ac:dyDescent="0.25">
      <c r="A795" s="198">
        <v>783</v>
      </c>
      <c r="B795" s="208" t="s">
        <v>16</v>
      </c>
      <c r="C795" s="195" t="s">
        <v>342</v>
      </c>
      <c r="D795" s="195" t="s">
        <v>92</v>
      </c>
      <c r="E795" s="198">
        <v>8110000220</v>
      </c>
      <c r="F795" s="198">
        <v>100</v>
      </c>
      <c r="G795" s="32">
        <f>G796</f>
        <v>400.04</v>
      </c>
      <c r="H795" s="32">
        <f t="shared" si="390"/>
        <v>400.04</v>
      </c>
      <c r="I795" s="32">
        <f t="shared" si="390"/>
        <v>397.02699999999999</v>
      </c>
      <c r="J795" s="224"/>
      <c r="K795" s="224"/>
      <c r="L795" s="224"/>
      <c r="M795" s="226"/>
      <c r="N795" s="226"/>
      <c r="O795" s="226"/>
      <c r="P795" s="225">
        <f t="shared" si="384"/>
        <v>99.24682531746825</v>
      </c>
    </row>
    <row r="796" spans="1:16" x14ac:dyDescent="0.25">
      <c r="A796" s="198">
        <v>784</v>
      </c>
      <c r="B796" s="208" t="s">
        <v>17</v>
      </c>
      <c r="C796" s="195" t="s">
        <v>342</v>
      </c>
      <c r="D796" s="195" t="s">
        <v>92</v>
      </c>
      <c r="E796" s="198">
        <v>8110000220</v>
      </c>
      <c r="F796" s="198">
        <v>120</v>
      </c>
      <c r="G796" s="32">
        <v>400.04</v>
      </c>
      <c r="H796" s="32">
        <v>400.04</v>
      </c>
      <c r="I796" s="32">
        <v>397.02699999999999</v>
      </c>
      <c r="J796" s="224"/>
      <c r="K796" s="224"/>
      <c r="L796" s="224"/>
      <c r="M796" s="226"/>
      <c r="N796" s="226"/>
      <c r="O796" s="226"/>
      <c r="P796" s="225">
        <f t="shared" si="384"/>
        <v>99.24682531746825</v>
      </c>
    </row>
    <row r="797" spans="1:16" ht="46.5" customHeight="1" x14ac:dyDescent="0.25">
      <c r="A797" s="198">
        <v>785</v>
      </c>
      <c r="B797" s="203" t="s">
        <v>455</v>
      </c>
      <c r="C797" s="195">
        <v>957</v>
      </c>
      <c r="D797" s="195" t="s">
        <v>92</v>
      </c>
      <c r="E797" s="198">
        <v>8110000230</v>
      </c>
      <c r="F797" s="198"/>
      <c r="G797" s="32">
        <f>G798</f>
        <v>380.58000000000004</v>
      </c>
      <c r="H797" s="32">
        <f t="shared" ref="H797:I797" si="391">H798</f>
        <v>380.58</v>
      </c>
      <c r="I797" s="32">
        <f t="shared" si="391"/>
        <v>365.87</v>
      </c>
      <c r="J797" s="224"/>
      <c r="K797" s="224"/>
      <c r="L797" s="224"/>
      <c r="M797" s="226"/>
      <c r="N797" s="226"/>
      <c r="O797" s="226"/>
      <c r="P797" s="225">
        <f t="shared" si="384"/>
        <v>96.134846812759477</v>
      </c>
    </row>
    <row r="798" spans="1:16" ht="45" x14ac:dyDescent="0.25">
      <c r="A798" s="198">
        <v>786</v>
      </c>
      <c r="B798" s="208" t="s">
        <v>16</v>
      </c>
      <c r="C798" s="195">
        <v>957</v>
      </c>
      <c r="D798" s="195" t="s">
        <v>92</v>
      </c>
      <c r="E798" s="198">
        <v>8110000230</v>
      </c>
      <c r="F798" s="198">
        <v>100</v>
      </c>
      <c r="G798" s="32">
        <f>G799</f>
        <v>380.58000000000004</v>
      </c>
      <c r="H798" s="32">
        <f t="shared" ref="H798:I798" si="392">H799</f>
        <v>380.58</v>
      </c>
      <c r="I798" s="32">
        <f t="shared" si="392"/>
        <v>365.87</v>
      </c>
      <c r="J798" s="224"/>
      <c r="K798" s="224"/>
      <c r="L798" s="224"/>
      <c r="M798" s="226"/>
      <c r="N798" s="226"/>
      <c r="O798" s="226"/>
      <c r="P798" s="225">
        <f t="shared" si="384"/>
        <v>96.134846812759477</v>
      </c>
    </row>
    <row r="799" spans="1:16" x14ac:dyDescent="0.25">
      <c r="A799" s="198">
        <v>787</v>
      </c>
      <c r="B799" s="208" t="s">
        <v>17</v>
      </c>
      <c r="C799" s="195">
        <v>957</v>
      </c>
      <c r="D799" s="195" t="s">
        <v>92</v>
      </c>
      <c r="E799" s="198">
        <v>8110000230</v>
      </c>
      <c r="F799" s="198">
        <v>120</v>
      </c>
      <c r="G799" s="32">
        <f>1439.18-620-438.6</f>
        <v>380.58000000000004</v>
      </c>
      <c r="H799" s="32">
        <v>380.58</v>
      </c>
      <c r="I799" s="32">
        <v>365.87</v>
      </c>
      <c r="J799" s="224">
        <v>-620</v>
      </c>
      <c r="K799" s="224"/>
      <c r="L799" s="224"/>
      <c r="M799" s="226"/>
      <c r="N799" s="226"/>
      <c r="O799" s="226"/>
      <c r="P799" s="225">
        <f t="shared" si="384"/>
        <v>96.134846812759477</v>
      </c>
    </row>
    <row r="800" spans="1:16" x14ac:dyDescent="0.25">
      <c r="A800" s="198">
        <v>788</v>
      </c>
      <c r="B800" s="199" t="s">
        <v>341</v>
      </c>
      <c r="C800" s="195">
        <v>957</v>
      </c>
      <c r="D800" s="195" t="s">
        <v>92</v>
      </c>
      <c r="E800" s="198">
        <v>8110000240</v>
      </c>
      <c r="F800" s="198"/>
      <c r="G800" s="32">
        <f>G801</f>
        <v>1883.24</v>
      </c>
      <c r="H800" s="32">
        <f t="shared" ref="H800:I800" si="393">H801</f>
        <v>1883.24</v>
      </c>
      <c r="I800" s="32">
        <f t="shared" si="393"/>
        <v>1677.1880000000001</v>
      </c>
      <c r="J800" s="224"/>
      <c r="K800" s="224"/>
      <c r="L800" s="224"/>
      <c r="M800" s="226"/>
      <c r="N800" s="226"/>
      <c r="O800" s="226"/>
      <c r="P800" s="225">
        <f t="shared" si="384"/>
        <v>89.058643614196825</v>
      </c>
    </row>
    <row r="801" spans="1:16" ht="45" x14ac:dyDescent="0.25">
      <c r="A801" s="198">
        <v>789</v>
      </c>
      <c r="B801" s="208" t="s">
        <v>16</v>
      </c>
      <c r="C801" s="195">
        <v>957</v>
      </c>
      <c r="D801" s="195" t="s">
        <v>92</v>
      </c>
      <c r="E801" s="198">
        <v>8110000240</v>
      </c>
      <c r="F801" s="198">
        <v>100</v>
      </c>
      <c r="G801" s="32">
        <f>G802</f>
        <v>1883.24</v>
      </c>
      <c r="H801" s="32">
        <f t="shared" ref="H801:I801" si="394">H802</f>
        <v>1883.24</v>
      </c>
      <c r="I801" s="32">
        <f t="shared" si="394"/>
        <v>1677.1880000000001</v>
      </c>
      <c r="J801" s="224"/>
      <c r="K801" s="224"/>
      <c r="L801" s="224"/>
      <c r="M801" s="226"/>
      <c r="N801" s="226"/>
      <c r="O801" s="226"/>
      <c r="P801" s="225">
        <f t="shared" si="384"/>
        <v>89.058643614196825</v>
      </c>
    </row>
    <row r="802" spans="1:16" x14ac:dyDescent="0.25">
      <c r="A802" s="198">
        <v>790</v>
      </c>
      <c r="B802" s="208" t="s">
        <v>17</v>
      </c>
      <c r="C802" s="195">
        <v>957</v>
      </c>
      <c r="D802" s="195" t="s">
        <v>92</v>
      </c>
      <c r="E802" s="198">
        <v>8110000240</v>
      </c>
      <c r="F802" s="198">
        <v>120</v>
      </c>
      <c r="G802" s="32">
        <f>1547.24-30+366</f>
        <v>1883.24</v>
      </c>
      <c r="H802" s="32">
        <v>1883.24</v>
      </c>
      <c r="I802" s="32">
        <v>1677.1880000000001</v>
      </c>
      <c r="J802" s="224">
        <v>-30</v>
      </c>
      <c r="K802" s="224"/>
      <c r="L802" s="224"/>
      <c r="M802" s="226"/>
      <c r="N802" s="226"/>
      <c r="O802" s="226"/>
      <c r="P802" s="225">
        <f t="shared" si="384"/>
        <v>89.058643614196825</v>
      </c>
    </row>
    <row r="803" spans="1:16" ht="30" x14ac:dyDescent="0.25">
      <c r="A803" s="198">
        <v>791</v>
      </c>
      <c r="B803" s="208" t="s">
        <v>557</v>
      </c>
      <c r="C803" s="195" t="s">
        <v>342</v>
      </c>
      <c r="D803" s="195" t="s">
        <v>92</v>
      </c>
      <c r="E803" s="198">
        <v>8110010350</v>
      </c>
      <c r="F803" s="198"/>
      <c r="G803" s="32">
        <f>G804</f>
        <v>41.96</v>
      </c>
      <c r="H803" s="32">
        <f t="shared" ref="H803:I804" si="395">H804</f>
        <v>41.96</v>
      </c>
      <c r="I803" s="32">
        <f t="shared" si="395"/>
        <v>41.959000000000003</v>
      </c>
      <c r="J803" s="224"/>
      <c r="K803" s="224"/>
      <c r="L803" s="224"/>
      <c r="M803" s="226"/>
      <c r="N803" s="226"/>
      <c r="O803" s="226"/>
      <c r="P803" s="225">
        <f t="shared" si="384"/>
        <v>99.997616777883707</v>
      </c>
    </row>
    <row r="804" spans="1:16" ht="45" x14ac:dyDescent="0.25">
      <c r="A804" s="198">
        <v>792</v>
      </c>
      <c r="B804" s="208" t="s">
        <v>16</v>
      </c>
      <c r="C804" s="195" t="s">
        <v>342</v>
      </c>
      <c r="D804" s="195" t="s">
        <v>92</v>
      </c>
      <c r="E804" s="198">
        <v>8110010350</v>
      </c>
      <c r="F804" s="198">
        <v>100</v>
      </c>
      <c r="G804" s="32">
        <f>G805</f>
        <v>41.96</v>
      </c>
      <c r="H804" s="32">
        <f t="shared" si="395"/>
        <v>41.96</v>
      </c>
      <c r="I804" s="32">
        <f t="shared" si="395"/>
        <v>41.959000000000003</v>
      </c>
      <c r="J804" s="224"/>
      <c r="K804" s="224"/>
      <c r="L804" s="224"/>
      <c r="M804" s="226"/>
      <c r="N804" s="226"/>
      <c r="O804" s="226"/>
      <c r="P804" s="225">
        <f t="shared" si="384"/>
        <v>99.997616777883707</v>
      </c>
    </row>
    <row r="805" spans="1:16" x14ac:dyDescent="0.25">
      <c r="A805" s="198">
        <v>793</v>
      </c>
      <c r="B805" s="208" t="s">
        <v>17</v>
      </c>
      <c r="C805" s="195" t="s">
        <v>342</v>
      </c>
      <c r="D805" s="195" t="s">
        <v>92</v>
      </c>
      <c r="E805" s="198">
        <v>8110010350</v>
      </c>
      <c r="F805" s="198">
        <v>120</v>
      </c>
      <c r="G805" s="32">
        <v>41.96</v>
      </c>
      <c r="H805" s="32">
        <v>41.96</v>
      </c>
      <c r="I805" s="32">
        <v>41.959000000000003</v>
      </c>
      <c r="J805" s="224"/>
      <c r="K805" s="224"/>
      <c r="L805" s="224"/>
      <c r="M805" s="226"/>
      <c r="N805" s="226"/>
      <c r="O805" s="226"/>
      <c r="P805" s="225">
        <f t="shared" si="384"/>
        <v>99.997616777883707</v>
      </c>
    </row>
    <row r="806" spans="1:16" ht="30" x14ac:dyDescent="0.25">
      <c r="A806" s="198">
        <v>794</v>
      </c>
      <c r="B806" s="208" t="s">
        <v>491</v>
      </c>
      <c r="C806" s="195" t="s">
        <v>342</v>
      </c>
      <c r="D806" s="195" t="s">
        <v>92</v>
      </c>
      <c r="E806" s="198">
        <v>8110010360</v>
      </c>
      <c r="F806" s="198"/>
      <c r="G806" s="32">
        <f>G807</f>
        <v>498.39</v>
      </c>
      <c r="H806" s="32">
        <f t="shared" ref="H806:I807" si="396">H807</f>
        <v>498.39</v>
      </c>
      <c r="I806" s="32">
        <f t="shared" si="396"/>
        <v>498.39100000000002</v>
      </c>
      <c r="J806" s="224"/>
      <c r="K806" s="224"/>
      <c r="L806" s="224"/>
      <c r="M806" s="226"/>
      <c r="N806" s="226"/>
      <c r="O806" s="226"/>
      <c r="P806" s="225">
        <f t="shared" si="384"/>
        <v>100.0002006460804</v>
      </c>
    </row>
    <row r="807" spans="1:16" ht="45" x14ac:dyDescent="0.25">
      <c r="A807" s="198">
        <v>795</v>
      </c>
      <c r="B807" s="208" t="s">
        <v>16</v>
      </c>
      <c r="C807" s="195" t="s">
        <v>342</v>
      </c>
      <c r="D807" s="195" t="s">
        <v>92</v>
      </c>
      <c r="E807" s="198">
        <v>8110010360</v>
      </c>
      <c r="F807" s="198">
        <v>100</v>
      </c>
      <c r="G807" s="32">
        <f>G808</f>
        <v>498.39</v>
      </c>
      <c r="H807" s="32">
        <f t="shared" si="396"/>
        <v>498.39</v>
      </c>
      <c r="I807" s="32">
        <f t="shared" si="396"/>
        <v>498.39100000000002</v>
      </c>
      <c r="J807" s="224"/>
      <c r="K807" s="224"/>
      <c r="L807" s="224"/>
      <c r="M807" s="226"/>
      <c r="N807" s="226"/>
      <c r="O807" s="226"/>
      <c r="P807" s="225">
        <f t="shared" si="384"/>
        <v>100.0002006460804</v>
      </c>
    </row>
    <row r="808" spans="1:16" x14ac:dyDescent="0.25">
      <c r="A808" s="198">
        <v>796</v>
      </c>
      <c r="B808" s="208" t="s">
        <v>17</v>
      </c>
      <c r="C808" s="195" t="s">
        <v>342</v>
      </c>
      <c r="D808" s="195" t="s">
        <v>92</v>
      </c>
      <c r="E808" s="198">
        <v>8110010360</v>
      </c>
      <c r="F808" s="198">
        <v>120</v>
      </c>
      <c r="G808" s="32">
        <f>498.39</f>
        <v>498.39</v>
      </c>
      <c r="H808" s="32">
        <v>498.39</v>
      </c>
      <c r="I808" s="32">
        <v>498.39100000000002</v>
      </c>
      <c r="J808" s="224">
        <v>498.39</v>
      </c>
      <c r="K808" s="224"/>
      <c r="L808" s="224"/>
      <c r="M808" s="226"/>
      <c r="N808" s="226"/>
      <c r="O808" s="226"/>
      <c r="P808" s="225">
        <f t="shared" si="384"/>
        <v>100.0002006460804</v>
      </c>
    </row>
    <row r="809" spans="1:16" x14ac:dyDescent="0.25">
      <c r="A809" s="198">
        <v>797</v>
      </c>
      <c r="B809" s="89" t="s">
        <v>84</v>
      </c>
      <c r="C809" s="48"/>
      <c r="D809" s="48"/>
      <c r="E809" s="48"/>
      <c r="F809" s="48"/>
      <c r="G809" s="51">
        <f>G13+G153+G384+G408+G434+G462+G472+G501+G631+G764+G782+G752</f>
        <v>1286742.1472799997</v>
      </c>
      <c r="H809" s="51">
        <f>H13+H153+H384+H408+H434+H462+H472+H501+H631+H764+H782+H752</f>
        <v>1290747.7189999998</v>
      </c>
      <c r="I809" s="51">
        <f>I13+I153+I384+I408+I434+I462+I472+I501+I631+I764+I782+I752</f>
        <v>1246082.2155799998</v>
      </c>
      <c r="J809" s="224"/>
      <c r="K809" s="224"/>
      <c r="L809" s="224"/>
      <c r="M809" s="226"/>
      <c r="N809" s="226"/>
      <c r="O809" s="226"/>
      <c r="P809" s="225">
        <f t="shared" si="384"/>
        <v>96.539563637222287</v>
      </c>
    </row>
    <row r="810" spans="1:16" x14ac:dyDescent="0.25">
      <c r="C810" s="94"/>
      <c r="D810" s="94"/>
      <c r="E810" s="94"/>
      <c r="M810" s="209"/>
    </row>
    <row r="814" spans="1:16" x14ac:dyDescent="0.25">
      <c r="J814" s="61" t="e">
        <f>J33+J47+J57+J64+J77+#REF!+J81+J88+J91+J97+J100+J103+J109+J141+J149+J166+J185+J194+#REF!+J215+J220+J240+J249+J259+J282+J302+J329+J331+J338+J344+J359+J371+J401+J425+J431+J453+J492+J514+J517+J538+J541+J544+J550+J562+J564+#REF!+J568+J581+J584+J607+#REF!+J619+J644+J647+J665+J692+J708+J715+#REF!+J721+J737+J757+J781+J808</f>
        <v>#REF!</v>
      </c>
    </row>
    <row r="815" spans="1:16" x14ac:dyDescent="0.25">
      <c r="J815" s="61" t="e">
        <f>J20+K20+J22+J27+K50+#REF!+#REF!+#REF!+J113+#REF!+J172+J200+J212+J229+J232+K282+J289++J292+K302+J308+K338+J353+M359+#REF!+#REF!+#REF!+K381+J391+J393+J415+J417+K441+K443+L441+L443+J459+J461+J469+#REF!+J481+J486+J497+J500+J508+J532+J638+J659+K659+J675+J689+J696+J702+J711+J727+J729+J747+J751+J771+J773+J789+K791+L791+J799+J802</f>
        <v>#REF!</v>
      </c>
    </row>
    <row r="816" spans="1:16" x14ac:dyDescent="0.25">
      <c r="J816" s="61" t="e">
        <f>J814+J815</f>
        <v>#REF!</v>
      </c>
    </row>
  </sheetData>
  <mergeCells count="2">
    <mergeCell ref="A8:I8"/>
    <mergeCell ref="A7:P7"/>
  </mergeCells>
  <printOptions horizontalCentered="1"/>
  <pageMargins left="0.39370078740157483" right="0.39370078740157483" top="0.94488188976377963" bottom="0.39370078740157483" header="0.31496062992125984" footer="0.31496062992125984"/>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0"/>
  <sheetViews>
    <sheetView topLeftCell="A214" zoomScaleSheetLayoutView="95" workbookViewId="0">
      <selection activeCell="C292" sqref="C292"/>
    </sheetView>
  </sheetViews>
  <sheetFormatPr defaultRowHeight="15" x14ac:dyDescent="0.25"/>
  <cols>
    <col min="1" max="1" width="5.85546875" style="39" customWidth="1"/>
    <col min="2" max="2" width="72.42578125" style="21" customWidth="1"/>
    <col min="3" max="3" width="15.140625" style="22" customWidth="1"/>
    <col min="4" max="4" width="9.140625" style="22" customWidth="1"/>
    <col min="5" max="5" width="12.28515625" style="22" customWidth="1"/>
    <col min="6" max="6" width="16" style="22" customWidth="1"/>
    <col min="7" max="7" width="17.42578125" style="22" customWidth="1"/>
    <col min="8" max="8" width="16.5703125" style="22" customWidth="1"/>
    <col min="9" max="9" width="18" style="18" customWidth="1"/>
    <col min="10" max="16384" width="9.140625" style="18"/>
  </cols>
  <sheetData>
    <row r="1" spans="1:10" x14ac:dyDescent="0.25">
      <c r="H1" s="221" t="s">
        <v>154</v>
      </c>
      <c r="I1" s="221"/>
      <c r="J1" s="22"/>
    </row>
    <row r="2" spans="1:10" x14ac:dyDescent="0.25">
      <c r="H2" s="222" t="s">
        <v>155</v>
      </c>
      <c r="I2" s="222"/>
      <c r="J2" s="22"/>
    </row>
    <row r="3" spans="1:10" x14ac:dyDescent="0.25">
      <c r="H3" s="222" t="s">
        <v>253</v>
      </c>
      <c r="I3" s="222"/>
      <c r="J3" s="22"/>
    </row>
    <row r="4" spans="1:10" x14ac:dyDescent="0.25">
      <c r="H4" s="222" t="s">
        <v>587</v>
      </c>
      <c r="I4" s="222"/>
      <c r="J4" s="22"/>
    </row>
    <row r="5" spans="1:10" x14ac:dyDescent="0.25">
      <c r="H5" s="23"/>
      <c r="I5" s="22"/>
      <c r="J5" s="22"/>
    </row>
    <row r="6" spans="1:10" x14ac:dyDescent="0.25">
      <c r="E6" s="23"/>
    </row>
    <row r="7" spans="1:10" ht="51.75" customHeight="1" x14ac:dyDescent="0.25">
      <c r="A7" s="252" t="s">
        <v>585</v>
      </c>
      <c r="B7" s="252"/>
      <c r="C7" s="252"/>
      <c r="D7" s="252"/>
      <c r="E7" s="252"/>
      <c r="F7" s="252"/>
      <c r="G7" s="252"/>
      <c r="H7" s="252"/>
      <c r="I7" s="252"/>
    </row>
    <row r="8" spans="1:10" x14ac:dyDescent="0.25">
      <c r="A8" s="25"/>
      <c r="B8" s="26"/>
      <c r="C8" s="27"/>
      <c r="D8" s="27"/>
      <c r="E8" s="27"/>
      <c r="I8" s="293" t="s">
        <v>0</v>
      </c>
      <c r="J8" s="293"/>
    </row>
    <row r="9" spans="1:10" ht="45" x14ac:dyDescent="0.25">
      <c r="A9" s="28" t="s">
        <v>1</v>
      </c>
      <c r="B9" s="28" t="s">
        <v>2</v>
      </c>
      <c r="C9" s="29" t="s">
        <v>5</v>
      </c>
      <c r="D9" s="29" t="s">
        <v>6</v>
      </c>
      <c r="E9" s="29" t="s">
        <v>85</v>
      </c>
      <c r="F9" s="30" t="s">
        <v>576</v>
      </c>
      <c r="G9" s="30" t="s">
        <v>577</v>
      </c>
      <c r="H9" s="30" t="s">
        <v>578</v>
      </c>
      <c r="I9" s="210" t="s">
        <v>579</v>
      </c>
      <c r="J9" s="240"/>
    </row>
    <row r="10" spans="1:10" x14ac:dyDescent="0.25">
      <c r="A10" s="31"/>
      <c r="B10" s="29" t="s">
        <v>7</v>
      </c>
      <c r="C10" s="29" t="s">
        <v>8</v>
      </c>
      <c r="D10" s="29" t="s">
        <v>9</v>
      </c>
      <c r="E10" s="29" t="s">
        <v>10</v>
      </c>
      <c r="F10" s="29" t="s">
        <v>11</v>
      </c>
      <c r="G10" s="34">
        <v>6</v>
      </c>
      <c r="H10" s="34">
        <v>7</v>
      </c>
      <c r="I10" s="211">
        <v>8</v>
      </c>
    </row>
    <row r="11" spans="1:10" ht="42.75" x14ac:dyDescent="0.25">
      <c r="A11" s="34">
        <v>1</v>
      </c>
      <c r="B11" s="84" t="s">
        <v>254</v>
      </c>
      <c r="C11" s="49" t="s">
        <v>389</v>
      </c>
      <c r="D11" s="34"/>
      <c r="E11" s="35"/>
      <c r="F11" s="51">
        <f>F12+F14</f>
        <v>119.47</v>
      </c>
      <c r="G11" s="51">
        <f t="shared" ref="G11" si="0">G12+G14</f>
        <v>119.47</v>
      </c>
      <c r="H11" s="51">
        <f t="shared" ref="H11" si="1">H12+H14</f>
        <v>109.82</v>
      </c>
      <c r="I11" s="214">
        <f>H11/G11*100</f>
        <v>91.922658407968527</v>
      </c>
    </row>
    <row r="12" spans="1:10" ht="30" x14ac:dyDescent="0.25">
      <c r="A12" s="34">
        <v>2</v>
      </c>
      <c r="B12" s="85" t="s">
        <v>333</v>
      </c>
      <c r="C12" s="46" t="s">
        <v>383</v>
      </c>
      <c r="D12" s="59"/>
      <c r="E12" s="46" t="s">
        <v>261</v>
      </c>
      <c r="F12" s="40">
        <f>F13</f>
        <v>71.37</v>
      </c>
      <c r="G12" s="40">
        <f t="shared" ref="G12:H12" si="2">G13</f>
        <v>71.37</v>
      </c>
      <c r="H12" s="40">
        <f t="shared" si="2"/>
        <v>61.74</v>
      </c>
      <c r="I12" s="214">
        <f t="shared" ref="I12:I75" si="3">H12/G12*100</f>
        <v>86.50693568726355</v>
      </c>
    </row>
    <row r="13" spans="1:10" ht="75" x14ac:dyDescent="0.25">
      <c r="A13" s="34">
        <v>3</v>
      </c>
      <c r="B13" s="67" t="s">
        <v>387</v>
      </c>
      <c r="C13" s="83" t="str">
        <f>'приложение 4'!E745</f>
        <v>0110080070</v>
      </c>
      <c r="D13" s="82">
        <v>610</v>
      </c>
      <c r="E13" s="83" t="s">
        <v>261</v>
      </c>
      <c r="F13" s="50">
        <f>'приложение 4'!G747</f>
        <v>71.37</v>
      </c>
      <c r="G13" s="50">
        <f>'приложение 4'!H747</f>
        <v>71.37</v>
      </c>
      <c r="H13" s="50">
        <f>'приложение 4'!I747</f>
        <v>61.74</v>
      </c>
      <c r="I13" s="214">
        <f t="shared" si="3"/>
        <v>86.50693568726355</v>
      </c>
    </row>
    <row r="14" spans="1:10" ht="47.25" x14ac:dyDescent="0.25">
      <c r="A14" s="34">
        <v>4</v>
      </c>
      <c r="B14" s="86" t="s">
        <v>334</v>
      </c>
      <c r="C14" s="46" t="s">
        <v>385</v>
      </c>
      <c r="D14" s="59"/>
      <c r="E14" s="46" t="s">
        <v>261</v>
      </c>
      <c r="F14" s="40">
        <f>F15</f>
        <v>48.1</v>
      </c>
      <c r="G14" s="40">
        <f t="shared" ref="G14:H14" si="4">G15</f>
        <v>48.1</v>
      </c>
      <c r="H14" s="40">
        <f t="shared" si="4"/>
        <v>48.08</v>
      </c>
      <c r="I14" s="214">
        <f t="shared" si="3"/>
        <v>99.958419958419952</v>
      </c>
    </row>
    <row r="15" spans="1:10" ht="94.5" x14ac:dyDescent="0.25">
      <c r="A15" s="34">
        <v>5</v>
      </c>
      <c r="B15" s="74" t="s">
        <v>388</v>
      </c>
      <c r="C15" s="110" t="s">
        <v>386</v>
      </c>
      <c r="D15" s="34">
        <v>610</v>
      </c>
      <c r="E15" s="35" t="s">
        <v>261</v>
      </c>
      <c r="F15" s="32">
        <f>'приложение 4'!G751</f>
        <v>48.1</v>
      </c>
      <c r="G15" s="32">
        <f>'приложение 4'!H751</f>
        <v>48.1</v>
      </c>
      <c r="H15" s="32">
        <f>'приложение 4'!I751</f>
        <v>48.08</v>
      </c>
      <c r="I15" s="214">
        <f t="shared" si="3"/>
        <v>99.958419958419952</v>
      </c>
    </row>
    <row r="16" spans="1:10" ht="28.5" x14ac:dyDescent="0.25">
      <c r="A16" s="34">
        <v>6</v>
      </c>
      <c r="B16" s="91" t="s">
        <v>224</v>
      </c>
      <c r="C16" s="48" t="str">
        <f>'приложение 4'!E411</f>
        <v>0200000000</v>
      </c>
      <c r="D16" s="48"/>
      <c r="E16" s="49"/>
      <c r="F16" s="51">
        <f>F17+F21+F30+F37+F53</f>
        <v>117437.93156</v>
      </c>
      <c r="G16" s="51">
        <f t="shared" ref="G16:H16" si="5">G17+G21+G30+G37+G53</f>
        <v>117437.932</v>
      </c>
      <c r="H16" s="51">
        <f t="shared" si="5"/>
        <v>115453.61658</v>
      </c>
      <c r="I16" s="214">
        <f t="shared" si="3"/>
        <v>98.310328369883081</v>
      </c>
    </row>
    <row r="17" spans="1:9" x14ac:dyDescent="0.25">
      <c r="A17" s="34">
        <v>7</v>
      </c>
      <c r="B17" s="44" t="s">
        <v>71</v>
      </c>
      <c r="C17" s="59" t="str">
        <f>'приложение 4'!E683</f>
        <v>0210000000</v>
      </c>
      <c r="D17" s="48"/>
      <c r="E17" s="49"/>
      <c r="F17" s="40">
        <f>F18+F19+F20</f>
        <v>21655.3</v>
      </c>
      <c r="G17" s="40">
        <f t="shared" ref="G17:H17" si="6">G18+G19+G20</f>
        <v>21655.3</v>
      </c>
      <c r="H17" s="40">
        <f t="shared" si="6"/>
        <v>21332.59</v>
      </c>
      <c r="I17" s="214">
        <f t="shared" si="3"/>
        <v>98.509787442335139</v>
      </c>
    </row>
    <row r="18" spans="1:9" ht="45" x14ac:dyDescent="0.25">
      <c r="A18" s="34">
        <v>8</v>
      </c>
      <c r="B18" s="71" t="s">
        <v>377</v>
      </c>
      <c r="C18" s="34" t="str">
        <f>'приложение 4'!E684</f>
        <v>0210000610</v>
      </c>
      <c r="D18" s="34">
        <v>610</v>
      </c>
      <c r="E18" s="35" t="s">
        <v>125</v>
      </c>
      <c r="F18" s="32">
        <f>'приложение 4'!G686</f>
        <v>16955.52</v>
      </c>
      <c r="G18" s="32">
        <f>'приложение 4'!H686</f>
        <v>16955.52</v>
      </c>
      <c r="H18" s="32">
        <f>'приложение 4'!I686</f>
        <v>16741.54</v>
      </c>
      <c r="I18" s="214">
        <f t="shared" si="3"/>
        <v>98.737992111123702</v>
      </c>
    </row>
    <row r="19" spans="1:9" ht="45" x14ac:dyDescent="0.25">
      <c r="A19" s="34">
        <v>9</v>
      </c>
      <c r="B19" s="71" t="s">
        <v>378</v>
      </c>
      <c r="C19" s="34" t="str">
        <f>'приложение 4'!E687</f>
        <v>0210000630</v>
      </c>
      <c r="D19" s="34">
        <v>610</v>
      </c>
      <c r="E19" s="35" t="s">
        <v>125</v>
      </c>
      <c r="F19" s="32">
        <f>'приложение 4'!G689</f>
        <v>3887.05</v>
      </c>
      <c r="G19" s="32">
        <f>'приложение 4'!H689</f>
        <v>3887.05</v>
      </c>
      <c r="H19" s="32">
        <f>'приложение 4'!I689</f>
        <v>3778.32</v>
      </c>
      <c r="I19" s="214">
        <f t="shared" si="3"/>
        <v>97.202763020799836</v>
      </c>
    </row>
    <row r="20" spans="1:9" ht="60" x14ac:dyDescent="0.25">
      <c r="A20" s="117">
        <v>10</v>
      </c>
      <c r="B20" s="140" t="s">
        <v>537</v>
      </c>
      <c r="C20" s="118" t="str">
        <f>'приложение 4'!E692</f>
        <v>0210010480</v>
      </c>
      <c r="D20" s="117">
        <v>610</v>
      </c>
      <c r="E20" s="118" t="s">
        <v>125</v>
      </c>
      <c r="F20" s="32">
        <f>'приложение 4'!G692</f>
        <v>812.73</v>
      </c>
      <c r="G20" s="32">
        <f>'приложение 4'!H692</f>
        <v>812.73</v>
      </c>
      <c r="H20" s="32">
        <f>'приложение 4'!I692</f>
        <v>812.73</v>
      </c>
      <c r="I20" s="214">
        <f t="shared" si="3"/>
        <v>100</v>
      </c>
    </row>
    <row r="21" spans="1:9" x14ac:dyDescent="0.25">
      <c r="A21" s="34">
        <v>11</v>
      </c>
      <c r="B21" s="111" t="s">
        <v>63</v>
      </c>
      <c r="C21" s="46" t="s">
        <v>195</v>
      </c>
      <c r="D21" s="48"/>
      <c r="E21" s="49"/>
      <c r="F21" s="40">
        <f>F22+F23+F28+F29+F24+F27+F26+F25</f>
        <v>2314.9500000000007</v>
      </c>
      <c r="G21" s="40">
        <f t="shared" ref="G21:H21" si="7">G22+G23+G28+G29+G24+G27+G26+G25</f>
        <v>2314.9500000000007</v>
      </c>
      <c r="H21" s="40">
        <f t="shared" si="7"/>
        <v>2305.3065800000004</v>
      </c>
      <c r="I21" s="214">
        <f t="shared" si="3"/>
        <v>99.583428583770697</v>
      </c>
    </row>
    <row r="22" spans="1:9" x14ac:dyDescent="0.25">
      <c r="A22" s="277">
        <v>12</v>
      </c>
      <c r="B22" s="278" t="s">
        <v>64</v>
      </c>
      <c r="C22" s="277" t="str">
        <f>'приложение 4'!E414</f>
        <v>0220000610</v>
      </c>
      <c r="D22" s="34">
        <v>110</v>
      </c>
      <c r="E22" s="35" t="s">
        <v>96</v>
      </c>
      <c r="F22" s="32">
        <f>'приложение 4'!G415</f>
        <v>1184.44</v>
      </c>
      <c r="G22" s="32">
        <f>'приложение 4'!H415</f>
        <v>1184.44</v>
      </c>
      <c r="H22" s="32">
        <f>'приложение 4'!I415</f>
        <v>1178.1020000000001</v>
      </c>
      <c r="I22" s="214">
        <f t="shared" si="3"/>
        <v>99.464894802607134</v>
      </c>
    </row>
    <row r="23" spans="1:9" x14ac:dyDescent="0.25">
      <c r="A23" s="277"/>
      <c r="B23" s="278"/>
      <c r="C23" s="277"/>
      <c r="D23" s="34">
        <v>240</v>
      </c>
      <c r="E23" s="35" t="s">
        <v>96</v>
      </c>
      <c r="F23" s="32">
        <f>'приложение 4'!G417</f>
        <v>749.69</v>
      </c>
      <c r="G23" s="32">
        <f>'приложение 4'!H417</f>
        <v>749.69</v>
      </c>
      <c r="H23" s="32">
        <f>'приложение 4'!I417</f>
        <v>749.447</v>
      </c>
      <c r="I23" s="214">
        <f t="shared" si="3"/>
        <v>99.967586602462347</v>
      </c>
    </row>
    <row r="24" spans="1:9" x14ac:dyDescent="0.25">
      <c r="A24" s="277"/>
      <c r="B24" s="278"/>
      <c r="C24" s="277"/>
      <c r="D24" s="34">
        <v>850</v>
      </c>
      <c r="E24" s="35" t="s">
        <v>96</v>
      </c>
      <c r="F24" s="32">
        <f>'приложение 4'!G419</f>
        <v>0.5</v>
      </c>
      <c r="G24" s="32">
        <f>'приложение 4'!H419</f>
        <v>0.5</v>
      </c>
      <c r="H24" s="32">
        <f>'приложение 4'!I419</f>
        <v>7.7579999999999996E-2</v>
      </c>
      <c r="I24" s="214">
        <f t="shared" si="3"/>
        <v>15.516</v>
      </c>
    </row>
    <row r="25" spans="1:9" ht="45" x14ac:dyDescent="0.25">
      <c r="A25" s="174">
        <v>13</v>
      </c>
      <c r="B25" s="176" t="s">
        <v>557</v>
      </c>
      <c r="C25" s="175" t="str">
        <f>'приложение 4'!E421</f>
        <v>0220010350</v>
      </c>
      <c r="D25" s="174">
        <v>110</v>
      </c>
      <c r="E25" s="175" t="s">
        <v>96</v>
      </c>
      <c r="F25" s="32">
        <f>'приложение 4'!G422</f>
        <v>10.050000000000001</v>
      </c>
      <c r="G25" s="32">
        <f>'приложение 4'!H422</f>
        <v>10.050000000000001</v>
      </c>
      <c r="H25" s="32">
        <f>'приложение 4'!I422</f>
        <v>10.050000000000001</v>
      </c>
      <c r="I25" s="214">
        <f t="shared" si="3"/>
        <v>100</v>
      </c>
    </row>
    <row r="26" spans="1:9" ht="30" x14ac:dyDescent="0.25">
      <c r="A26" s="114">
        <v>14</v>
      </c>
      <c r="B26" s="116" t="s">
        <v>491</v>
      </c>
      <c r="C26" s="115" t="str">
        <f>'приложение 4'!E425</f>
        <v>0220010360</v>
      </c>
      <c r="D26" s="114">
        <v>110</v>
      </c>
      <c r="E26" s="115" t="s">
        <v>96</v>
      </c>
      <c r="F26" s="32">
        <f>'приложение 4'!G425</f>
        <v>73.86</v>
      </c>
      <c r="G26" s="32">
        <f>'приложение 4'!H425</f>
        <v>73.86</v>
      </c>
      <c r="H26" s="32">
        <f>'приложение 4'!I425</f>
        <v>73.86</v>
      </c>
      <c r="I26" s="214">
        <f t="shared" si="3"/>
        <v>100</v>
      </c>
    </row>
    <row r="27" spans="1:9" ht="45" x14ac:dyDescent="0.25">
      <c r="A27" s="34">
        <v>15</v>
      </c>
      <c r="B27" s="55" t="s">
        <v>353</v>
      </c>
      <c r="C27" s="35" t="str">
        <f>'приложение 4'!E426</f>
        <v>0220010490</v>
      </c>
      <c r="D27" s="34">
        <v>110</v>
      </c>
      <c r="E27" s="35" t="s">
        <v>96</v>
      </c>
      <c r="F27" s="32">
        <f>'приложение 4'!G428</f>
        <v>28.69</v>
      </c>
      <c r="G27" s="32">
        <f>'приложение 4'!H428</f>
        <v>28.69</v>
      </c>
      <c r="H27" s="32">
        <f>'приложение 4'!I428</f>
        <v>28.69</v>
      </c>
      <c r="I27" s="214">
        <f t="shared" si="3"/>
        <v>100</v>
      </c>
    </row>
    <row r="28" spans="1:9" x14ac:dyDescent="0.25">
      <c r="A28" s="277">
        <v>16</v>
      </c>
      <c r="B28" s="287" t="s">
        <v>66</v>
      </c>
      <c r="C28" s="277" t="str">
        <f>'приложение 4'!E429</f>
        <v>0220075190</v>
      </c>
      <c r="D28" s="34">
        <v>110</v>
      </c>
      <c r="E28" s="35" t="s">
        <v>96</v>
      </c>
      <c r="F28" s="32">
        <f>'приложение 4'!G431</f>
        <v>222.82</v>
      </c>
      <c r="G28" s="32">
        <f>'приложение 4'!H431</f>
        <v>222.82</v>
      </c>
      <c r="H28" s="32">
        <f>'приложение 4'!I431</f>
        <v>220.2</v>
      </c>
      <c r="I28" s="214">
        <f t="shared" si="3"/>
        <v>98.824163001525889</v>
      </c>
    </row>
    <row r="29" spans="1:9" x14ac:dyDescent="0.25">
      <c r="A29" s="277"/>
      <c r="B29" s="287"/>
      <c r="C29" s="277"/>
      <c r="D29" s="34">
        <v>240</v>
      </c>
      <c r="E29" s="35" t="s">
        <v>96</v>
      </c>
      <c r="F29" s="32">
        <f>'приложение 4'!G433</f>
        <v>44.9</v>
      </c>
      <c r="G29" s="32">
        <f>'приложение 4'!H433</f>
        <v>44.9</v>
      </c>
      <c r="H29" s="32">
        <f>'приложение 4'!I433</f>
        <v>44.88</v>
      </c>
      <c r="I29" s="214">
        <f t="shared" si="3"/>
        <v>99.955456570155903</v>
      </c>
    </row>
    <row r="30" spans="1:9" x14ac:dyDescent="0.25">
      <c r="A30" s="34">
        <v>17</v>
      </c>
      <c r="B30" s="87" t="s">
        <v>72</v>
      </c>
      <c r="C30" s="46" t="s">
        <v>220</v>
      </c>
      <c r="D30" s="48"/>
      <c r="E30" s="49"/>
      <c r="F30" s="40">
        <f>F31+F32+F33+F35+F36+F34</f>
        <v>57174.515559999993</v>
      </c>
      <c r="G30" s="40">
        <f t="shared" ref="G30:H30" si="8">G31+G32+G33+G35+G36+G34</f>
        <v>57174.51999999999</v>
      </c>
      <c r="H30" s="40">
        <f t="shared" si="8"/>
        <v>55967.029999999992</v>
      </c>
      <c r="I30" s="214">
        <f t="shared" si="3"/>
        <v>97.888062724444396</v>
      </c>
    </row>
    <row r="31" spans="1:9" ht="45" x14ac:dyDescent="0.25">
      <c r="A31" s="34">
        <v>18</v>
      </c>
      <c r="B31" s="71" t="s">
        <v>379</v>
      </c>
      <c r="C31" s="34" t="str">
        <f>'приложение 4'!E694</f>
        <v>0230000640</v>
      </c>
      <c r="D31" s="34">
        <v>610</v>
      </c>
      <c r="E31" s="35" t="s">
        <v>125</v>
      </c>
      <c r="F31" s="32">
        <f>'приложение 4'!G696</f>
        <v>13951.3</v>
      </c>
      <c r="G31" s="32">
        <f>'приложение 4'!H696</f>
        <v>13951.3</v>
      </c>
      <c r="H31" s="32">
        <f>'приложение 4'!I696</f>
        <v>13635.2</v>
      </c>
      <c r="I31" s="214">
        <f t="shared" si="3"/>
        <v>97.734261323317554</v>
      </c>
    </row>
    <row r="32" spans="1:9" ht="45" x14ac:dyDescent="0.25">
      <c r="A32" s="34">
        <v>19</v>
      </c>
      <c r="B32" s="71" t="s">
        <v>380</v>
      </c>
      <c r="C32" s="34" t="str">
        <f>'приложение 4'!E700</f>
        <v>0230000650</v>
      </c>
      <c r="D32" s="34">
        <v>610</v>
      </c>
      <c r="E32" s="35" t="s">
        <v>125</v>
      </c>
      <c r="F32" s="32">
        <f>'приложение 4'!G702</f>
        <v>19904.46</v>
      </c>
      <c r="G32" s="32">
        <f>'приложение 4'!H702</f>
        <v>19904.46</v>
      </c>
      <c r="H32" s="32">
        <f>'приложение 4'!I702</f>
        <v>19013.07</v>
      </c>
      <c r="I32" s="214">
        <f t="shared" si="3"/>
        <v>95.521656955275361</v>
      </c>
    </row>
    <row r="33" spans="1:9" ht="45" x14ac:dyDescent="0.25">
      <c r="A33" s="34">
        <v>20</v>
      </c>
      <c r="B33" s="71" t="s">
        <v>381</v>
      </c>
      <c r="C33" s="34" t="str">
        <f>'приложение 4'!E703</f>
        <v>0230000660</v>
      </c>
      <c r="D33" s="34">
        <v>610</v>
      </c>
      <c r="E33" s="35" t="s">
        <v>125</v>
      </c>
      <c r="F33" s="32">
        <f>'приложение 4'!G705</f>
        <v>16466.93</v>
      </c>
      <c r="G33" s="32">
        <f>'приложение 4'!H705</f>
        <v>16466.93</v>
      </c>
      <c r="H33" s="32">
        <f>'приложение 4'!I705</f>
        <v>16466.93</v>
      </c>
      <c r="I33" s="214">
        <f t="shared" si="3"/>
        <v>100</v>
      </c>
    </row>
    <row r="34" spans="1:9" ht="60" x14ac:dyDescent="0.25">
      <c r="A34" s="117">
        <v>21</v>
      </c>
      <c r="B34" s="140" t="s">
        <v>537</v>
      </c>
      <c r="C34" s="118" t="str">
        <f>'приложение 4'!E708</f>
        <v>0230010480</v>
      </c>
      <c r="D34" s="117">
        <v>610</v>
      </c>
      <c r="E34" s="118" t="s">
        <v>125</v>
      </c>
      <c r="F34" s="32">
        <f>'приложение 4'!G708</f>
        <v>1391.27</v>
      </c>
      <c r="G34" s="32">
        <f>'приложение 4'!H708</f>
        <v>1391.27</v>
      </c>
      <c r="H34" s="32">
        <f>'приложение 4'!I708</f>
        <v>1391.27</v>
      </c>
      <c r="I34" s="214">
        <f t="shared" si="3"/>
        <v>100</v>
      </c>
    </row>
    <row r="35" spans="1:9" ht="75" x14ac:dyDescent="0.25">
      <c r="A35" s="34">
        <v>22</v>
      </c>
      <c r="B35" s="192" t="s">
        <v>575</v>
      </c>
      <c r="C35" s="35" t="str">
        <f>'приложение 4'!E697</f>
        <v>02300L4660</v>
      </c>
      <c r="D35" s="34">
        <v>610</v>
      </c>
      <c r="E35" s="35" t="s">
        <v>125</v>
      </c>
      <c r="F35" s="32">
        <f>'приложение 4'!G699</f>
        <v>5410.5555599999998</v>
      </c>
      <c r="G35" s="32">
        <f>'приложение 4'!H699</f>
        <v>5410.56</v>
      </c>
      <c r="H35" s="32">
        <f>'приложение 4'!I699</f>
        <v>5410.56</v>
      </c>
      <c r="I35" s="214">
        <f t="shared" si="3"/>
        <v>100</v>
      </c>
    </row>
    <row r="36" spans="1:9" ht="45" x14ac:dyDescent="0.25">
      <c r="A36" s="34">
        <v>23</v>
      </c>
      <c r="B36" s="55" t="s">
        <v>391</v>
      </c>
      <c r="C36" s="35" t="str">
        <f>'приложение 4'!E711</f>
        <v>0230080260</v>
      </c>
      <c r="D36" s="34">
        <v>610</v>
      </c>
      <c r="E36" s="35" t="s">
        <v>125</v>
      </c>
      <c r="F36" s="32">
        <f>'приложение 4'!G711</f>
        <v>50</v>
      </c>
      <c r="G36" s="32">
        <f>'приложение 4'!H711</f>
        <v>50</v>
      </c>
      <c r="H36" s="32">
        <f>'приложение 4'!I711</f>
        <v>50</v>
      </c>
      <c r="I36" s="214">
        <f t="shared" si="3"/>
        <v>100</v>
      </c>
    </row>
    <row r="37" spans="1:9" ht="30" x14ac:dyDescent="0.25">
      <c r="A37" s="34">
        <v>24</v>
      </c>
      <c r="B37" s="111" t="s">
        <v>68</v>
      </c>
      <c r="C37" s="46" t="s">
        <v>213</v>
      </c>
      <c r="D37" s="48"/>
      <c r="E37" s="49"/>
      <c r="F37" s="40">
        <f>F38+F43+F44+F45+F46+F47+F50+F51+F52+F40+F41+F42+F49+F39+F48</f>
        <v>36293.166000000005</v>
      </c>
      <c r="G37" s="40">
        <f t="shared" ref="G37:H37" si="9">G38+G43+G44+G45+G46+G47+G50+G51+G52+G40+G41+G42+G49+G39+G48</f>
        <v>36293.162000000004</v>
      </c>
      <c r="H37" s="40">
        <f t="shared" si="9"/>
        <v>35848.69</v>
      </c>
      <c r="I37" s="214">
        <f t="shared" si="3"/>
        <v>98.775328531583995</v>
      </c>
    </row>
    <row r="38" spans="1:9" ht="60" x14ac:dyDescent="0.25">
      <c r="A38" s="34">
        <v>25</v>
      </c>
      <c r="B38" s="78" t="s">
        <v>373</v>
      </c>
      <c r="C38" s="34" t="str">
        <f>'приложение 4'!E636</f>
        <v>0240000610</v>
      </c>
      <c r="D38" s="34">
        <v>610</v>
      </c>
      <c r="E38" s="35" t="s">
        <v>172</v>
      </c>
      <c r="F38" s="32">
        <f>'приложение 4'!G638</f>
        <v>30910.33</v>
      </c>
      <c r="G38" s="32">
        <f>'приложение 4'!H638</f>
        <v>30910.33</v>
      </c>
      <c r="H38" s="32">
        <f>'приложение 4'!I638</f>
        <v>30588.53</v>
      </c>
      <c r="I38" s="214">
        <f t="shared" si="3"/>
        <v>98.958924087837303</v>
      </c>
    </row>
    <row r="39" spans="1:9" ht="45" x14ac:dyDescent="0.25">
      <c r="A39" s="182">
        <v>26</v>
      </c>
      <c r="B39" s="186" t="s">
        <v>557</v>
      </c>
      <c r="C39" s="179" t="str">
        <f>'приложение 4'!E639</f>
        <v>0240010350</v>
      </c>
      <c r="D39" s="182">
        <v>610</v>
      </c>
      <c r="E39" s="179" t="s">
        <v>172</v>
      </c>
      <c r="F39" s="32">
        <f>'приложение 4'!G639</f>
        <v>34.61</v>
      </c>
      <c r="G39" s="32">
        <f>'приложение 4'!H639</f>
        <v>34.61</v>
      </c>
      <c r="H39" s="32">
        <f>'приложение 4'!I639</f>
        <v>34.61</v>
      </c>
      <c r="I39" s="214">
        <f t="shared" si="3"/>
        <v>100</v>
      </c>
    </row>
    <row r="40" spans="1:9" ht="30" x14ac:dyDescent="0.25">
      <c r="A40" s="117">
        <v>27</v>
      </c>
      <c r="B40" s="119" t="s">
        <v>491</v>
      </c>
      <c r="C40" s="118" t="str">
        <f>'приложение 4'!E644</f>
        <v>0240010360</v>
      </c>
      <c r="D40" s="117">
        <v>610</v>
      </c>
      <c r="E40" s="118" t="s">
        <v>172</v>
      </c>
      <c r="F40" s="32">
        <f>'приложение 4'!G644</f>
        <v>185.11199999999999</v>
      </c>
      <c r="G40" s="32">
        <f>'приложение 4'!H644</f>
        <v>185.11199999999999</v>
      </c>
      <c r="H40" s="32">
        <f>'приложение 4'!I644</f>
        <v>185.11</v>
      </c>
      <c r="I40" s="214">
        <f t="shared" si="3"/>
        <v>99.998919573015272</v>
      </c>
    </row>
    <row r="41" spans="1:9" ht="60" x14ac:dyDescent="0.25">
      <c r="A41" s="117">
        <v>28</v>
      </c>
      <c r="B41" s="140" t="s">
        <v>537</v>
      </c>
      <c r="C41" s="118" t="str">
        <f>'приложение 4'!E645</f>
        <v>0240010480</v>
      </c>
      <c r="D41" s="117">
        <v>610</v>
      </c>
      <c r="E41" s="118" t="s">
        <v>172</v>
      </c>
      <c r="F41" s="32">
        <f>'приложение 4'!G647</f>
        <v>202.89</v>
      </c>
      <c r="G41" s="32">
        <f>'приложение 4'!H647</f>
        <v>202.89</v>
      </c>
      <c r="H41" s="32">
        <f>'приложение 4'!I647</f>
        <v>202.89</v>
      </c>
      <c r="I41" s="214">
        <f t="shared" si="3"/>
        <v>100</v>
      </c>
    </row>
    <row r="42" spans="1:9" ht="60" x14ac:dyDescent="0.25">
      <c r="A42" s="117">
        <v>29</v>
      </c>
      <c r="B42" s="150" t="s">
        <v>551</v>
      </c>
      <c r="C42" s="118" t="str">
        <f>'приложение 4'!E713</f>
        <v>02400L4670</v>
      </c>
      <c r="D42" s="117">
        <v>610</v>
      </c>
      <c r="E42" s="118" t="s">
        <v>172</v>
      </c>
      <c r="F42" s="32">
        <f>'приложение 4'!G715</f>
        <v>225.16</v>
      </c>
      <c r="G42" s="32">
        <f>'приложение 4'!H715</f>
        <v>225.16</v>
      </c>
      <c r="H42" s="32">
        <f>'приложение 4'!I715</f>
        <v>225.16</v>
      </c>
      <c r="I42" s="214">
        <f t="shared" si="3"/>
        <v>100</v>
      </c>
    </row>
    <row r="43" spans="1:9" ht="25.5" customHeight="1" x14ac:dyDescent="0.25">
      <c r="A43" s="277">
        <v>30</v>
      </c>
      <c r="B43" s="278" t="s">
        <v>395</v>
      </c>
      <c r="C43" s="277" t="str">
        <f>'приложение 4'!E725</f>
        <v>0240000610</v>
      </c>
      <c r="D43" s="34">
        <v>110</v>
      </c>
      <c r="E43" s="35" t="s">
        <v>126</v>
      </c>
      <c r="F43" s="32">
        <f>'приложение 4'!G727</f>
        <v>2726.18</v>
      </c>
      <c r="G43" s="32">
        <f>'приложение 4'!H727</f>
        <v>2726.18</v>
      </c>
      <c r="H43" s="32">
        <f>'приложение 4'!I727</f>
        <v>2664.49</v>
      </c>
      <c r="I43" s="214">
        <f t="shared" si="3"/>
        <v>97.73712667542128</v>
      </c>
    </row>
    <row r="44" spans="1:9" ht="21" customHeight="1" x14ac:dyDescent="0.25">
      <c r="A44" s="277"/>
      <c r="B44" s="278"/>
      <c r="C44" s="277"/>
      <c r="D44" s="34">
        <v>240</v>
      </c>
      <c r="E44" s="35" t="s">
        <v>126</v>
      </c>
      <c r="F44" s="32">
        <f>'приложение 4'!G729</f>
        <v>755.76</v>
      </c>
      <c r="G44" s="32">
        <f>'приложение 4'!H729</f>
        <v>755.76</v>
      </c>
      <c r="H44" s="32">
        <f>'приложение 4'!I729</f>
        <v>706.58</v>
      </c>
      <c r="I44" s="214">
        <f t="shared" si="3"/>
        <v>93.492643167143015</v>
      </c>
    </row>
    <row r="45" spans="1:9" ht="21.75" customHeight="1" x14ac:dyDescent="0.25">
      <c r="A45" s="277"/>
      <c r="B45" s="278"/>
      <c r="C45" s="277"/>
      <c r="D45" s="34">
        <v>850</v>
      </c>
      <c r="E45" s="35" t="s">
        <v>126</v>
      </c>
      <c r="F45" s="32">
        <f>'приложение 4'!G731</f>
        <v>1</v>
      </c>
      <c r="G45" s="32">
        <f>'приложение 4'!H731</f>
        <v>1</v>
      </c>
      <c r="H45" s="32">
        <f>'приложение 4'!I731</f>
        <v>0.3</v>
      </c>
      <c r="I45" s="214">
        <f t="shared" si="3"/>
        <v>30</v>
      </c>
    </row>
    <row r="46" spans="1:9" ht="24" customHeight="1" x14ac:dyDescent="0.25">
      <c r="A46" s="277">
        <v>31</v>
      </c>
      <c r="B46" s="298" t="s">
        <v>453</v>
      </c>
      <c r="C46" s="35" t="s">
        <v>308</v>
      </c>
      <c r="D46" s="34">
        <v>610</v>
      </c>
      <c r="E46" s="35" t="s">
        <v>125</v>
      </c>
      <c r="F46" s="32">
        <f>'приложение 4'!G718</f>
        <v>400</v>
      </c>
      <c r="G46" s="32">
        <f>'приложение 4'!H718</f>
        <v>400</v>
      </c>
      <c r="H46" s="32">
        <f>'приложение 4'!I718</f>
        <v>400</v>
      </c>
      <c r="I46" s="214">
        <f t="shared" si="3"/>
        <v>100</v>
      </c>
    </row>
    <row r="47" spans="1:9" ht="51" customHeight="1" x14ac:dyDescent="0.25">
      <c r="A47" s="277"/>
      <c r="B47" s="298"/>
      <c r="C47" s="35" t="str">
        <f>'приложение 4'!E721</f>
        <v>02400S4880</v>
      </c>
      <c r="D47" s="34">
        <v>610</v>
      </c>
      <c r="E47" s="35" t="s">
        <v>125</v>
      </c>
      <c r="F47" s="32">
        <f>'приложение 4'!G721</f>
        <v>252.7</v>
      </c>
      <c r="G47" s="32">
        <f>'приложение 4'!H721</f>
        <v>252.7</v>
      </c>
      <c r="H47" s="32">
        <f>'приложение 4'!I721</f>
        <v>243.6</v>
      </c>
      <c r="I47" s="214">
        <f t="shared" si="3"/>
        <v>96.39889196675901</v>
      </c>
    </row>
    <row r="48" spans="1:9" ht="33.75" customHeight="1" x14ac:dyDescent="0.25">
      <c r="A48" s="182">
        <v>32</v>
      </c>
      <c r="B48" s="185" t="s">
        <v>557</v>
      </c>
      <c r="C48" s="179" t="str">
        <f>'приложение 4'!E732</f>
        <v>0240010350</v>
      </c>
      <c r="D48" s="182">
        <v>110</v>
      </c>
      <c r="E48" s="179" t="s">
        <v>126</v>
      </c>
      <c r="F48" s="32">
        <f>'приложение 4'!G734</f>
        <v>22.84</v>
      </c>
      <c r="G48" s="32">
        <f>'приложение 4'!H734</f>
        <v>22.84</v>
      </c>
      <c r="H48" s="32">
        <f>'приложение 4'!I734</f>
        <v>22.84</v>
      </c>
      <c r="I48" s="214">
        <f t="shared" si="3"/>
        <v>100</v>
      </c>
    </row>
    <row r="49" spans="1:9" ht="33.75" customHeight="1" x14ac:dyDescent="0.25">
      <c r="A49" s="117">
        <v>33</v>
      </c>
      <c r="B49" s="119" t="s">
        <v>491</v>
      </c>
      <c r="C49" s="118" t="str">
        <f>'приложение 4'!E737</f>
        <v>0240010360</v>
      </c>
      <c r="D49" s="117">
        <v>110</v>
      </c>
      <c r="E49" s="118" t="s">
        <v>126</v>
      </c>
      <c r="F49" s="32">
        <f>'приложение 4'!G737</f>
        <v>154.26400000000001</v>
      </c>
      <c r="G49" s="32">
        <f>'приложение 4'!H737</f>
        <v>154.26</v>
      </c>
      <c r="H49" s="32">
        <f>'приложение 4'!I737</f>
        <v>154.26</v>
      </c>
      <c r="I49" s="214">
        <f t="shared" si="3"/>
        <v>100</v>
      </c>
    </row>
    <row r="50" spans="1:9" ht="37.5" customHeight="1" x14ac:dyDescent="0.25">
      <c r="A50" s="277">
        <v>34</v>
      </c>
      <c r="B50" s="291" t="s">
        <v>353</v>
      </c>
      <c r="C50" s="271" t="str">
        <f>'приложение 4'!E648</f>
        <v>0240010490</v>
      </c>
      <c r="D50" s="34">
        <v>110</v>
      </c>
      <c r="E50" s="35" t="s">
        <v>126</v>
      </c>
      <c r="F50" s="32">
        <f>'приложение 4'!G740</f>
        <v>8.9600000000000009</v>
      </c>
      <c r="G50" s="32">
        <f>'приложение 4'!H740</f>
        <v>8.9600000000000009</v>
      </c>
      <c r="H50" s="32">
        <f>'приложение 4'!I740</f>
        <v>8.9600000000000009</v>
      </c>
      <c r="I50" s="214">
        <f t="shared" si="3"/>
        <v>100</v>
      </c>
    </row>
    <row r="51" spans="1:9" ht="29.25" customHeight="1" x14ac:dyDescent="0.25">
      <c r="A51" s="277"/>
      <c r="B51" s="291"/>
      <c r="C51" s="271"/>
      <c r="D51" s="34">
        <v>610</v>
      </c>
      <c r="E51" s="35" t="s">
        <v>172</v>
      </c>
      <c r="F51" s="32">
        <f>'приложение 4'!G650</f>
        <v>411.36</v>
      </c>
      <c r="G51" s="32">
        <f>'приложение 4'!H650</f>
        <v>411.36</v>
      </c>
      <c r="H51" s="32">
        <f>'приложение 4'!I650</f>
        <v>411.36</v>
      </c>
      <c r="I51" s="214">
        <f t="shared" si="3"/>
        <v>100</v>
      </c>
    </row>
    <row r="52" spans="1:9" ht="63" customHeight="1" x14ac:dyDescent="0.25">
      <c r="A52" s="34">
        <v>35</v>
      </c>
      <c r="B52" s="109" t="s">
        <v>479</v>
      </c>
      <c r="C52" s="35" t="str">
        <f>'приложение 4'!E653</f>
        <v>02400S4860</v>
      </c>
      <c r="D52" s="34">
        <v>610</v>
      </c>
      <c r="E52" s="35" t="s">
        <v>172</v>
      </c>
      <c r="F52" s="32">
        <f>'приложение 4'!G653</f>
        <v>2</v>
      </c>
      <c r="G52" s="32">
        <f>'приложение 4'!H653</f>
        <v>2</v>
      </c>
      <c r="H52" s="32">
        <f>'приложение 4'!I653</f>
        <v>0</v>
      </c>
      <c r="I52" s="214">
        <f t="shared" si="3"/>
        <v>0</v>
      </c>
    </row>
    <row r="53" spans="1:9" ht="23.25" customHeight="1" x14ac:dyDescent="0.25">
      <c r="A53" s="34">
        <v>36</v>
      </c>
      <c r="B53" s="47" t="s">
        <v>245</v>
      </c>
      <c r="C53" s="46" t="s">
        <v>246</v>
      </c>
      <c r="D53" s="48"/>
      <c r="E53" s="49"/>
      <c r="F53" s="40">
        <v>0</v>
      </c>
      <c r="G53" s="40">
        <v>0</v>
      </c>
      <c r="H53" s="40">
        <v>0</v>
      </c>
      <c r="I53" s="214">
        <v>0</v>
      </c>
    </row>
    <row r="54" spans="1:9" ht="42.75" x14ac:dyDescent="0.25">
      <c r="A54" s="34">
        <v>37</v>
      </c>
      <c r="B54" s="91" t="s">
        <v>225</v>
      </c>
      <c r="C54" s="49" t="s">
        <v>189</v>
      </c>
      <c r="D54" s="34"/>
      <c r="E54" s="35"/>
      <c r="F54" s="51">
        <f>F55+F63+F82+F88</f>
        <v>649708.89500000014</v>
      </c>
      <c r="G54" s="51">
        <f>G55+G63+G82+G88</f>
        <v>653112.12300000014</v>
      </c>
      <c r="H54" s="51">
        <f>H55+H63+H82+H88</f>
        <v>626354.46499999997</v>
      </c>
      <c r="I54" s="214">
        <f t="shared" si="3"/>
        <v>95.903052928019193</v>
      </c>
    </row>
    <row r="55" spans="1:9" x14ac:dyDescent="0.25">
      <c r="A55" s="34">
        <v>38</v>
      </c>
      <c r="B55" s="111" t="s">
        <v>137</v>
      </c>
      <c r="C55" s="46" t="s">
        <v>199</v>
      </c>
      <c r="D55" s="48"/>
      <c r="E55" s="49"/>
      <c r="F55" s="40">
        <f>F56+F58+F59+F61+F57+F62</f>
        <v>188023.36000000002</v>
      </c>
      <c r="G55" s="40">
        <f>G56+G58+G59+G61+G57+G62+G60</f>
        <v>189323.36000000002</v>
      </c>
      <c r="H55" s="40">
        <f t="shared" ref="H55" si="10">H56+H58+H59+H61+H57+H62</f>
        <v>186012.58000000005</v>
      </c>
      <c r="I55" s="214">
        <f t="shared" si="3"/>
        <v>98.251256474636847</v>
      </c>
    </row>
    <row r="56" spans="1:9" ht="60" x14ac:dyDescent="0.25">
      <c r="A56" s="34">
        <v>39</v>
      </c>
      <c r="B56" s="56" t="s">
        <v>357</v>
      </c>
      <c r="C56" s="34" t="str">
        <f>'приложение 4'!E506</f>
        <v>0310000610</v>
      </c>
      <c r="D56" s="34">
        <v>610</v>
      </c>
      <c r="E56" s="35" t="s">
        <v>119</v>
      </c>
      <c r="F56" s="50">
        <f>'приложение 4'!G508</f>
        <v>88170.46</v>
      </c>
      <c r="G56" s="50">
        <f>'приложение 4'!H508</f>
        <v>88170.46</v>
      </c>
      <c r="H56" s="50">
        <f>'приложение 4'!I508</f>
        <v>86169.46</v>
      </c>
      <c r="I56" s="214">
        <f t="shared" si="3"/>
        <v>97.730532425485819</v>
      </c>
    </row>
    <row r="57" spans="1:9" ht="45" x14ac:dyDescent="0.25">
      <c r="A57" s="34">
        <v>40</v>
      </c>
      <c r="B57" s="55" t="s">
        <v>353</v>
      </c>
      <c r="C57" s="35" t="str">
        <f>'приложение 4'!E509</f>
        <v>0310010490</v>
      </c>
      <c r="D57" s="34">
        <v>610</v>
      </c>
      <c r="E57" s="35" t="s">
        <v>119</v>
      </c>
      <c r="F57" s="50">
        <f>'приложение 4'!G511</f>
        <v>3619.64</v>
      </c>
      <c r="G57" s="50">
        <f>'приложение 4'!H511</f>
        <v>3619.64</v>
      </c>
      <c r="H57" s="50">
        <f>'приложение 4'!I511</f>
        <v>3619.64</v>
      </c>
      <c r="I57" s="214">
        <f t="shared" si="3"/>
        <v>100</v>
      </c>
    </row>
    <row r="58" spans="1:9" ht="150" x14ac:dyDescent="0.25">
      <c r="A58" s="34">
        <v>41</v>
      </c>
      <c r="B58" s="67" t="s">
        <v>358</v>
      </c>
      <c r="C58" s="34" t="str">
        <f>'приложение 4'!E512</f>
        <v>0310074080</v>
      </c>
      <c r="D58" s="34">
        <v>610</v>
      </c>
      <c r="E58" s="35" t="s">
        <v>119</v>
      </c>
      <c r="F58" s="50">
        <f>'приложение 4'!G512</f>
        <v>39062.409999999996</v>
      </c>
      <c r="G58" s="50">
        <f>'приложение 4'!H512</f>
        <v>39062.410000000003</v>
      </c>
      <c r="H58" s="50">
        <f>'приложение 4'!I512</f>
        <v>39062.410000000003</v>
      </c>
      <c r="I58" s="214">
        <f t="shared" si="3"/>
        <v>100</v>
      </c>
    </row>
    <row r="59" spans="1:9" ht="150" x14ac:dyDescent="0.25">
      <c r="A59" s="34">
        <v>42</v>
      </c>
      <c r="B59" s="67" t="s">
        <v>359</v>
      </c>
      <c r="C59" s="34" t="str">
        <f>'приложение 4'!E515</f>
        <v>0310075880</v>
      </c>
      <c r="D59" s="34">
        <v>610</v>
      </c>
      <c r="E59" s="35" t="s">
        <v>119</v>
      </c>
      <c r="F59" s="50">
        <f>'приложение 4'!G517</f>
        <v>55382.85</v>
      </c>
      <c r="G59" s="50">
        <f>'приложение 4'!H517</f>
        <v>55382.85</v>
      </c>
      <c r="H59" s="50">
        <f>'приложение 4'!I517</f>
        <v>55382.78</v>
      </c>
      <c r="I59" s="214">
        <f t="shared" si="3"/>
        <v>99.999873607082336</v>
      </c>
    </row>
    <row r="60" spans="1:9" ht="45" x14ac:dyDescent="0.25">
      <c r="A60" s="198">
        <v>43</v>
      </c>
      <c r="B60" s="203" t="s">
        <v>580</v>
      </c>
      <c r="C60" s="195" t="str">
        <f>'приложение 4'!E522</f>
        <v>0310077440</v>
      </c>
      <c r="D60" s="198">
        <v>610</v>
      </c>
      <c r="E60" s="195" t="s">
        <v>119</v>
      </c>
      <c r="F60" s="50">
        <f>'приложение 4'!G523</f>
        <v>0</v>
      </c>
      <c r="G60" s="50">
        <f>'приложение 4'!H523</f>
        <v>1300</v>
      </c>
      <c r="H60" s="50">
        <f>'приложение 4'!I523</f>
        <v>0</v>
      </c>
      <c r="I60" s="214">
        <f t="shared" si="3"/>
        <v>0</v>
      </c>
    </row>
    <row r="61" spans="1:9" ht="135" x14ac:dyDescent="0.25">
      <c r="A61" s="34">
        <v>44</v>
      </c>
      <c r="B61" s="68" t="s">
        <v>360</v>
      </c>
      <c r="C61" s="34" t="str">
        <f>'приложение 4'!E518</f>
        <v>0310075540</v>
      </c>
      <c r="D61" s="34">
        <v>610</v>
      </c>
      <c r="E61" s="35" t="s">
        <v>119</v>
      </c>
      <c r="F61" s="50">
        <f>'приложение 4'!G520</f>
        <v>288</v>
      </c>
      <c r="G61" s="50">
        <f>'приложение 4'!H520</f>
        <v>288</v>
      </c>
      <c r="H61" s="50">
        <f>'приложение 4'!I520</f>
        <v>288</v>
      </c>
      <c r="I61" s="214">
        <f t="shared" si="3"/>
        <v>100</v>
      </c>
    </row>
    <row r="62" spans="1:9" x14ac:dyDescent="0.25">
      <c r="A62" s="34">
        <v>45</v>
      </c>
      <c r="B62" s="56" t="s">
        <v>460</v>
      </c>
      <c r="C62" s="35" t="str">
        <f>'приложение 4'!E524</f>
        <v>0310080210</v>
      </c>
      <c r="D62" s="34">
        <v>610</v>
      </c>
      <c r="E62" s="35" t="s">
        <v>119</v>
      </c>
      <c r="F62" s="50">
        <f>'приложение 4'!G526</f>
        <v>1500</v>
      </c>
      <c r="G62" s="50">
        <f>'приложение 4'!H526</f>
        <v>1500</v>
      </c>
      <c r="H62" s="50">
        <f>'приложение 4'!I526</f>
        <v>1490.29</v>
      </c>
      <c r="I62" s="214">
        <f t="shared" si="3"/>
        <v>99.352666666666664</v>
      </c>
    </row>
    <row r="63" spans="1:9" x14ac:dyDescent="0.25">
      <c r="A63" s="34">
        <v>46</v>
      </c>
      <c r="B63" s="111" t="s">
        <v>138</v>
      </c>
      <c r="C63" s="46" t="s">
        <v>204</v>
      </c>
      <c r="D63" s="48"/>
      <c r="E63" s="49"/>
      <c r="F63" s="40">
        <f>F64+F65+F67+F68+F72+F74+F79+F80+F73+F71+F75+F76+F77+F78+F66+F70+F81</f>
        <v>414536.34500000003</v>
      </c>
      <c r="G63" s="40">
        <f>G64+G65+G67+G68+G72+G74+G79+G80+G73+G71+G75+G76+G77+G78+G66+G70+G81+G69</f>
        <v>416636.57300000003</v>
      </c>
      <c r="H63" s="40">
        <f>H64+H65+H67+H68+H72+H74+H79+H80+H73+H71+H75+H76+H77+H78+H66+H70+H81+H69</f>
        <v>394217.74500000005</v>
      </c>
      <c r="I63" s="214">
        <f t="shared" si="3"/>
        <v>94.619092645042485</v>
      </c>
    </row>
    <row r="64" spans="1:9" ht="60" x14ac:dyDescent="0.25">
      <c r="A64" s="34">
        <v>47</v>
      </c>
      <c r="B64" s="56" t="s">
        <v>361</v>
      </c>
      <c r="C64" s="34" t="str">
        <f>'приложение 4'!E530</f>
        <v>0320000610</v>
      </c>
      <c r="D64" s="34">
        <v>610</v>
      </c>
      <c r="E64" s="35" t="s">
        <v>120</v>
      </c>
      <c r="F64" s="32">
        <f>'приложение 4'!G532</f>
        <v>120198.96999999999</v>
      </c>
      <c r="G64" s="32">
        <f>'приложение 4'!H532</f>
        <v>120198.97</v>
      </c>
      <c r="H64" s="32">
        <f>'приложение 4'!I532</f>
        <v>117411.15</v>
      </c>
      <c r="I64" s="214">
        <f t="shared" si="3"/>
        <v>97.68066232181522</v>
      </c>
    </row>
    <row r="65" spans="1:9" ht="45" x14ac:dyDescent="0.25">
      <c r="A65" s="34">
        <v>48</v>
      </c>
      <c r="B65" s="55" t="s">
        <v>353</v>
      </c>
      <c r="C65" s="35" t="str">
        <f>'приложение 4'!E534</f>
        <v>0320010490</v>
      </c>
      <c r="D65" s="34">
        <v>610</v>
      </c>
      <c r="E65" s="35" t="s">
        <v>120</v>
      </c>
      <c r="F65" s="32">
        <f>'приложение 4'!G535</f>
        <v>4707.46</v>
      </c>
      <c r="G65" s="32">
        <f>'приложение 4'!H535</f>
        <v>4707.46</v>
      </c>
      <c r="H65" s="32">
        <f>'приложение 4'!I535</f>
        <v>4707.46</v>
      </c>
      <c r="I65" s="214">
        <f t="shared" si="3"/>
        <v>100</v>
      </c>
    </row>
    <row r="66" spans="1:9" ht="75" x14ac:dyDescent="0.25">
      <c r="A66" s="114">
        <v>49</v>
      </c>
      <c r="B66" s="149" t="s">
        <v>553</v>
      </c>
      <c r="C66" s="115" t="str">
        <f>'приложение 4'!E538</f>
        <v>0320053030</v>
      </c>
      <c r="D66" s="114">
        <v>610</v>
      </c>
      <c r="E66" s="115" t="s">
        <v>120</v>
      </c>
      <c r="F66" s="32">
        <f>'приложение 4'!G536</f>
        <v>7171.4</v>
      </c>
      <c r="G66" s="32">
        <f>'приложение 4'!H536</f>
        <v>7171.4</v>
      </c>
      <c r="H66" s="32">
        <f>'приложение 4'!I536</f>
        <v>6447.32</v>
      </c>
      <c r="I66" s="214">
        <f t="shared" si="3"/>
        <v>89.903226706082492</v>
      </c>
    </row>
    <row r="67" spans="1:9" ht="90" x14ac:dyDescent="0.25">
      <c r="A67" s="34">
        <v>50</v>
      </c>
      <c r="B67" s="69" t="s">
        <v>362</v>
      </c>
      <c r="C67" s="34" t="str">
        <f>'приложение 4'!E541</f>
        <v>0320076490</v>
      </c>
      <c r="D67" s="34">
        <v>610</v>
      </c>
      <c r="E67" s="35" t="s">
        <v>120</v>
      </c>
      <c r="F67" s="32">
        <f>'приложение 4'!G541</f>
        <v>434.50000000000011</v>
      </c>
      <c r="G67" s="32">
        <f>'приложение 4'!H541</f>
        <v>434.5</v>
      </c>
      <c r="H67" s="32">
        <f>'приложение 4'!I541</f>
        <v>434.5</v>
      </c>
      <c r="I67" s="214">
        <f t="shared" si="3"/>
        <v>100</v>
      </c>
    </row>
    <row r="68" spans="1:9" ht="135" x14ac:dyDescent="0.25">
      <c r="A68" s="34">
        <v>51</v>
      </c>
      <c r="B68" s="67" t="s">
        <v>363</v>
      </c>
      <c r="C68" s="34" t="str">
        <f>'приложение 4'!E542</f>
        <v>0320074090</v>
      </c>
      <c r="D68" s="34">
        <v>610</v>
      </c>
      <c r="E68" s="35" t="s">
        <v>120</v>
      </c>
      <c r="F68" s="32">
        <f>'приложение 4'!G544</f>
        <v>34776.870000000003</v>
      </c>
      <c r="G68" s="32">
        <f>'приложение 4'!H544</f>
        <v>34776.870000000003</v>
      </c>
      <c r="H68" s="32">
        <f>'приложение 4'!I544</f>
        <v>34776.870000000003</v>
      </c>
      <c r="I68" s="214">
        <f t="shared" si="3"/>
        <v>100</v>
      </c>
    </row>
    <row r="69" spans="1:9" ht="45" x14ac:dyDescent="0.25">
      <c r="A69" s="198">
        <v>52</v>
      </c>
      <c r="B69" s="203" t="s">
        <v>580</v>
      </c>
      <c r="C69" s="195" t="str">
        <f>'приложение 4'!E553</f>
        <v>0320077440</v>
      </c>
      <c r="D69" s="198">
        <v>610</v>
      </c>
      <c r="E69" s="195" t="s">
        <v>120</v>
      </c>
      <c r="F69" s="32">
        <f>'приложение 4'!G551</f>
        <v>0</v>
      </c>
      <c r="G69" s="32">
        <f>'приложение 4'!H551</f>
        <v>2103.2280000000001</v>
      </c>
      <c r="H69" s="32">
        <f>'приложение 4'!I551</f>
        <v>0</v>
      </c>
      <c r="I69" s="214">
        <f t="shared" si="3"/>
        <v>0</v>
      </c>
    </row>
    <row r="70" spans="1:9" ht="45" customHeight="1" x14ac:dyDescent="0.25">
      <c r="A70" s="122">
        <v>53</v>
      </c>
      <c r="B70" s="140" t="s">
        <v>532</v>
      </c>
      <c r="C70" s="127" t="str">
        <f>'приложение 4'!E338</f>
        <v>03200S3910</v>
      </c>
      <c r="D70" s="122">
        <v>410</v>
      </c>
      <c r="E70" s="127" t="s">
        <v>120</v>
      </c>
      <c r="F70" s="32">
        <f>'приложение 4'!G338</f>
        <v>80808.08</v>
      </c>
      <c r="G70" s="32">
        <f>'приложение 4'!H338</f>
        <v>80808.08</v>
      </c>
      <c r="H70" s="32">
        <f>'приложение 4'!I338</f>
        <v>73922</v>
      </c>
      <c r="I70" s="214">
        <f t="shared" si="3"/>
        <v>91.478475914784767</v>
      </c>
    </row>
    <row r="71" spans="1:9" ht="80.25" customHeight="1" x14ac:dyDescent="0.25">
      <c r="A71" s="104">
        <v>54</v>
      </c>
      <c r="B71" s="108" t="s">
        <v>396</v>
      </c>
      <c r="C71" s="35" t="str">
        <f>'приложение 4'!E545</f>
        <v>03200S5630</v>
      </c>
      <c r="D71" s="34">
        <v>610</v>
      </c>
      <c r="E71" s="35" t="s">
        <v>120</v>
      </c>
      <c r="F71" s="32">
        <f>'приложение 4'!G547</f>
        <v>1215.79</v>
      </c>
      <c r="G71" s="32">
        <f>'приложение 4'!H547</f>
        <v>1215.79</v>
      </c>
      <c r="H71" s="32">
        <f>'приложение 4'!I547</f>
        <v>1215.79</v>
      </c>
      <c r="I71" s="214">
        <f t="shared" si="3"/>
        <v>100</v>
      </c>
    </row>
    <row r="72" spans="1:9" ht="95.25" customHeight="1" x14ac:dyDescent="0.25">
      <c r="A72" s="277">
        <v>55</v>
      </c>
      <c r="B72" s="288" t="s">
        <v>364</v>
      </c>
      <c r="C72" s="277" t="str">
        <f>'приложение 4'!E548</f>
        <v>0320075640</v>
      </c>
      <c r="D72" s="34">
        <v>610</v>
      </c>
      <c r="E72" s="35" t="s">
        <v>120</v>
      </c>
      <c r="F72" s="32">
        <f>'приложение 4'!G550</f>
        <v>129868.69</v>
      </c>
      <c r="G72" s="32">
        <f>'приложение 4'!H550</f>
        <v>129868.69</v>
      </c>
      <c r="H72" s="32">
        <f>'приложение 4'!I550</f>
        <v>129864.81</v>
      </c>
      <c r="I72" s="214">
        <f t="shared" si="3"/>
        <v>99.997012366876106</v>
      </c>
    </row>
    <row r="73" spans="1:9" ht="69" customHeight="1" x14ac:dyDescent="0.25">
      <c r="A73" s="277"/>
      <c r="B73" s="288"/>
      <c r="C73" s="277"/>
      <c r="D73" s="34">
        <v>610</v>
      </c>
      <c r="E73" s="35" t="s">
        <v>172</v>
      </c>
      <c r="F73" s="32">
        <f>'приложение 4'!G574</f>
        <v>196.19499999999999</v>
      </c>
      <c r="G73" s="32">
        <f>'приложение 4'!H574</f>
        <v>196.19499999999999</v>
      </c>
      <c r="H73" s="32">
        <f>'приложение 4'!I574</f>
        <v>196.19499999999999</v>
      </c>
      <c r="I73" s="214">
        <f t="shared" si="3"/>
        <v>100</v>
      </c>
    </row>
    <row r="74" spans="1:9" x14ac:dyDescent="0.25">
      <c r="A74" s="34">
        <v>56</v>
      </c>
      <c r="B74" s="56" t="s">
        <v>319</v>
      </c>
      <c r="C74" s="35" t="s">
        <v>318</v>
      </c>
      <c r="D74" s="34">
        <v>610</v>
      </c>
      <c r="E74" s="35" t="s">
        <v>120</v>
      </c>
      <c r="F74" s="32">
        <f>'приложение 4'!G556</f>
        <v>3599</v>
      </c>
      <c r="G74" s="32">
        <f>'приложение 4'!H556</f>
        <v>3599</v>
      </c>
      <c r="H74" s="32">
        <f>'приложение 4'!I556</f>
        <v>3560.71</v>
      </c>
      <c r="I74" s="214">
        <f t="shared" si="3"/>
        <v>98.936093359266465</v>
      </c>
    </row>
    <row r="75" spans="1:9" x14ac:dyDescent="0.25">
      <c r="A75" s="98">
        <v>57</v>
      </c>
      <c r="B75" s="99" t="s">
        <v>465</v>
      </c>
      <c r="C75" s="97" t="str">
        <f>'приложение 4'!E557</f>
        <v>0320088270</v>
      </c>
      <c r="D75" s="98">
        <v>610</v>
      </c>
      <c r="E75" s="97" t="s">
        <v>120</v>
      </c>
      <c r="F75" s="32">
        <f>'приложение 4'!G559</f>
        <v>110</v>
      </c>
      <c r="G75" s="32">
        <f>'приложение 4'!H559</f>
        <v>110</v>
      </c>
      <c r="H75" s="32">
        <f>'приложение 4'!I559</f>
        <v>110</v>
      </c>
      <c r="I75" s="214">
        <f t="shared" si="3"/>
        <v>100</v>
      </c>
    </row>
    <row r="76" spans="1:9" ht="75" x14ac:dyDescent="0.25">
      <c r="A76" s="114">
        <v>58</v>
      </c>
      <c r="B76" s="140" t="s">
        <v>534</v>
      </c>
      <c r="C76" s="115" t="str">
        <f>'приложение 4'!E562</f>
        <v>03200S4300</v>
      </c>
      <c r="D76" s="114">
        <v>610</v>
      </c>
      <c r="E76" s="115" t="s">
        <v>120</v>
      </c>
      <c r="F76" s="32">
        <f>'приложение 4'!G562</f>
        <v>5183.72</v>
      </c>
      <c r="G76" s="32">
        <f>'приложение 4'!H562</f>
        <v>5183.72</v>
      </c>
      <c r="H76" s="32">
        <f>'приложение 4'!I562</f>
        <v>5183.72</v>
      </c>
      <c r="I76" s="214">
        <f t="shared" ref="I76:I139" si="11">H76/G76*100</f>
        <v>100</v>
      </c>
    </row>
    <row r="77" spans="1:9" ht="90" x14ac:dyDescent="0.25">
      <c r="A77" s="114">
        <v>59</v>
      </c>
      <c r="B77" s="140" t="s">
        <v>535</v>
      </c>
      <c r="C77" s="115" t="str">
        <f>'приложение 4'!E563</f>
        <v>03200S8400</v>
      </c>
      <c r="D77" s="114">
        <v>610</v>
      </c>
      <c r="E77" s="115" t="s">
        <v>120</v>
      </c>
      <c r="F77" s="32">
        <f>'приложение 4'!G565</f>
        <v>6939.5599999999986</v>
      </c>
      <c r="G77" s="32">
        <f>'приложение 4'!H565</f>
        <v>6936.56</v>
      </c>
      <c r="H77" s="32">
        <f>'приложение 4'!I565</f>
        <v>1349.14</v>
      </c>
      <c r="I77" s="214">
        <f t="shared" si="11"/>
        <v>19.449698409586308</v>
      </c>
    </row>
    <row r="78" spans="1:9" ht="75" x14ac:dyDescent="0.25">
      <c r="A78" s="114">
        <v>60</v>
      </c>
      <c r="B78" s="140" t="s">
        <v>536</v>
      </c>
      <c r="C78" s="115" t="str">
        <f>'приложение 4'!E566</f>
        <v>032Е452100</v>
      </c>
      <c r="D78" s="114">
        <v>610</v>
      </c>
      <c r="E78" s="115" t="s">
        <v>120</v>
      </c>
      <c r="F78" s="32">
        <f>'приложение 4'!G568</f>
        <v>6425.95</v>
      </c>
      <c r="G78" s="32">
        <f>'приложение 4'!H568</f>
        <v>6425.95</v>
      </c>
      <c r="H78" s="32">
        <f>'приложение 4'!I568</f>
        <v>3639.39</v>
      </c>
      <c r="I78" s="214">
        <f t="shared" si="11"/>
        <v>56.635828165485258</v>
      </c>
    </row>
    <row r="79" spans="1:9" ht="50.25" customHeight="1" x14ac:dyDescent="0.25">
      <c r="A79" s="277">
        <v>61</v>
      </c>
      <c r="B79" s="287" t="s">
        <v>367</v>
      </c>
      <c r="C79" s="277" t="str">
        <f>'приложение 4'!E615</f>
        <v>0320075660</v>
      </c>
      <c r="D79" s="34">
        <v>610</v>
      </c>
      <c r="E79" s="271" t="s">
        <v>130</v>
      </c>
      <c r="F79" s="32">
        <f>'приложение 4'!G619</f>
        <v>7957.7000000000007</v>
      </c>
      <c r="G79" s="32">
        <f>'приложение 4'!H619</f>
        <v>7917.83</v>
      </c>
      <c r="H79" s="32">
        <f>'приложение 4'!I619</f>
        <v>7827.19</v>
      </c>
      <c r="I79" s="214">
        <f t="shared" si="11"/>
        <v>98.855241903400298</v>
      </c>
    </row>
    <row r="80" spans="1:9" ht="67.5" customHeight="1" x14ac:dyDescent="0.25">
      <c r="A80" s="277"/>
      <c r="B80" s="287"/>
      <c r="C80" s="277"/>
      <c r="D80" s="34">
        <v>320</v>
      </c>
      <c r="E80" s="271"/>
      <c r="F80" s="32">
        <f>'приложение 4'!G617</f>
        <v>97</v>
      </c>
      <c r="G80" s="32">
        <f>'приложение 4'!H617</f>
        <v>136.87</v>
      </c>
      <c r="H80" s="32">
        <f>'приложение 4'!I617</f>
        <v>119.97</v>
      </c>
      <c r="I80" s="214">
        <f t="shared" si="11"/>
        <v>87.652516986921896</v>
      </c>
    </row>
    <row r="81" spans="1:9" ht="120.75" customHeight="1" x14ac:dyDescent="0.25">
      <c r="A81" s="171">
        <v>62</v>
      </c>
      <c r="B81" s="173" t="s">
        <v>555</v>
      </c>
      <c r="C81" s="172" t="str">
        <f>'приложение 4'!E620</f>
        <v>03200L3040</v>
      </c>
      <c r="D81" s="171">
        <v>610</v>
      </c>
      <c r="E81" s="172" t="s">
        <v>130</v>
      </c>
      <c r="F81" s="32">
        <f>'приложение 4'!G620</f>
        <v>4845.46</v>
      </c>
      <c r="G81" s="32">
        <f>'приложение 4'!H620</f>
        <v>4845.46</v>
      </c>
      <c r="H81" s="32">
        <f>'приложение 4'!I620</f>
        <v>3451.53</v>
      </c>
      <c r="I81" s="214">
        <f t="shared" si="11"/>
        <v>71.232246267640235</v>
      </c>
    </row>
    <row r="82" spans="1:9" x14ac:dyDescent="0.25">
      <c r="A82" s="34">
        <v>63</v>
      </c>
      <c r="B82" s="111" t="s">
        <v>139</v>
      </c>
      <c r="C82" s="46" t="s">
        <v>208</v>
      </c>
      <c r="D82" s="48"/>
      <c r="E82" s="49"/>
      <c r="F82" s="40">
        <f>F83+F86+F87+F84+F85</f>
        <v>23823.639999999996</v>
      </c>
      <c r="G82" s="40">
        <f t="shared" ref="G82" si="12">G83+G86+G87+G84+G85</f>
        <v>23823.639999999996</v>
      </c>
      <c r="H82" s="40">
        <f t="shared" ref="H82" si="13">H83+H86+H87+H84+H85</f>
        <v>23375.059999999994</v>
      </c>
      <c r="I82" s="214">
        <f t="shared" si="11"/>
        <v>98.117080345404801</v>
      </c>
    </row>
    <row r="83" spans="1:9" ht="60" x14ac:dyDescent="0.25">
      <c r="A83" s="34">
        <v>64</v>
      </c>
      <c r="B83" s="56" t="s">
        <v>372</v>
      </c>
      <c r="C83" s="34" t="str">
        <f>'приложение 4'!E576</f>
        <v>0330000660</v>
      </c>
      <c r="D83" s="34">
        <v>610</v>
      </c>
      <c r="E83" s="35" t="s">
        <v>172</v>
      </c>
      <c r="F83" s="32">
        <f>'приложение 4'!G578</f>
        <v>22781.23</v>
      </c>
      <c r="G83" s="32">
        <f>'приложение 4'!H578</f>
        <v>22781.23</v>
      </c>
      <c r="H83" s="32">
        <f>'приложение 4'!I578</f>
        <v>22332.73</v>
      </c>
      <c r="I83" s="214">
        <f t="shared" si="11"/>
        <v>98.031273991790613</v>
      </c>
    </row>
    <row r="84" spans="1:9" ht="30" x14ac:dyDescent="0.25">
      <c r="A84" s="114">
        <v>65</v>
      </c>
      <c r="B84" s="116" t="s">
        <v>491</v>
      </c>
      <c r="C84" s="115" t="str">
        <f>'приложение 4'!E579</f>
        <v>0330010360</v>
      </c>
      <c r="D84" s="114">
        <v>610</v>
      </c>
      <c r="E84" s="115" t="s">
        <v>172</v>
      </c>
      <c r="F84" s="32">
        <f>'приложение 4'!G579</f>
        <v>327.8</v>
      </c>
      <c r="G84" s="32">
        <f>'приложение 4'!H579</f>
        <v>327.8</v>
      </c>
      <c r="H84" s="32">
        <f>'приложение 4'!I579</f>
        <v>327.8</v>
      </c>
      <c r="I84" s="214">
        <f t="shared" si="11"/>
        <v>100</v>
      </c>
    </row>
    <row r="85" spans="1:9" ht="60" x14ac:dyDescent="0.25">
      <c r="A85" s="114">
        <v>66</v>
      </c>
      <c r="B85" s="140" t="s">
        <v>537</v>
      </c>
      <c r="C85" s="115" t="str">
        <f>'приложение 4'!E582</f>
        <v>0330010480</v>
      </c>
      <c r="D85" s="114">
        <v>610</v>
      </c>
      <c r="E85" s="115" t="s">
        <v>172</v>
      </c>
      <c r="F85" s="32">
        <f>'приложение 4'!G582</f>
        <v>60.51</v>
      </c>
      <c r="G85" s="32">
        <f>'приложение 4'!H582</f>
        <v>60.51</v>
      </c>
      <c r="H85" s="32">
        <f>'приложение 4'!I582</f>
        <v>60.51</v>
      </c>
      <c r="I85" s="214">
        <f t="shared" si="11"/>
        <v>100</v>
      </c>
    </row>
    <row r="86" spans="1:9" ht="45" x14ac:dyDescent="0.25">
      <c r="A86" s="34">
        <v>67</v>
      </c>
      <c r="B86" s="55" t="s">
        <v>353</v>
      </c>
      <c r="C86" s="35" t="str">
        <f>'приложение 4'!E587</f>
        <v>0330010490</v>
      </c>
      <c r="D86" s="34">
        <v>610</v>
      </c>
      <c r="E86" s="35" t="s">
        <v>172</v>
      </c>
      <c r="F86" s="32">
        <f>'приложение 4'!G587</f>
        <v>467.1</v>
      </c>
      <c r="G86" s="32">
        <f>'приложение 4'!H587</f>
        <v>467.1</v>
      </c>
      <c r="H86" s="32">
        <f>'приложение 4'!I587</f>
        <v>467.1</v>
      </c>
      <c r="I86" s="214">
        <f t="shared" si="11"/>
        <v>100</v>
      </c>
    </row>
    <row r="87" spans="1:9" ht="30" x14ac:dyDescent="0.25">
      <c r="A87" s="34">
        <v>68</v>
      </c>
      <c r="B87" s="56" t="s">
        <v>462</v>
      </c>
      <c r="C87" s="35" t="str">
        <f>'приложение 4'!E590</f>
        <v>0330080210</v>
      </c>
      <c r="D87" s="34">
        <v>610</v>
      </c>
      <c r="E87" s="35" t="s">
        <v>172</v>
      </c>
      <c r="F87" s="32">
        <f>'приложение 4'!G590</f>
        <v>187</v>
      </c>
      <c r="G87" s="32">
        <f>'приложение 4'!H590</f>
        <v>187</v>
      </c>
      <c r="H87" s="32">
        <f>'приложение 4'!I590</f>
        <v>186.92</v>
      </c>
      <c r="I87" s="214">
        <f t="shared" si="11"/>
        <v>99.957219251336895</v>
      </c>
    </row>
    <row r="88" spans="1:9" x14ac:dyDescent="0.25">
      <c r="A88" s="34">
        <v>69</v>
      </c>
      <c r="B88" s="111" t="s">
        <v>57</v>
      </c>
      <c r="C88" s="59" t="s">
        <v>58</v>
      </c>
      <c r="D88" s="59"/>
      <c r="E88" s="46"/>
      <c r="F88" s="40">
        <f>F89+F90+F96+F97+F98+F99+F92+F91+F95+F94+F93</f>
        <v>23325.549999999996</v>
      </c>
      <c r="G88" s="40">
        <f t="shared" ref="G88" si="14">G89+G90+G96+G97+G98+G99+G92+G91+G95+G94+G93</f>
        <v>23328.549999999996</v>
      </c>
      <c r="H88" s="40">
        <f t="shared" ref="H88" si="15">H89+H90+H96+H97+H98+H99+H92+H91+H95+H94+H93</f>
        <v>22749.079999999998</v>
      </c>
      <c r="I88" s="214">
        <f t="shared" si="11"/>
        <v>97.516047932683364</v>
      </c>
    </row>
    <row r="89" spans="1:9" x14ac:dyDescent="0.25">
      <c r="A89" s="277">
        <v>70</v>
      </c>
      <c r="B89" s="278" t="s">
        <v>365</v>
      </c>
      <c r="C89" s="277" t="str">
        <f>'приложение 4'!E594</f>
        <v>0340000610</v>
      </c>
      <c r="D89" s="34">
        <v>110</v>
      </c>
      <c r="E89" s="35" t="s">
        <v>122</v>
      </c>
      <c r="F89" s="32">
        <f>'приложение 4'!G596</f>
        <v>15315.25</v>
      </c>
      <c r="G89" s="32">
        <f>'приложение 4'!H596</f>
        <v>15329.85</v>
      </c>
      <c r="H89" s="32">
        <f>'приложение 4'!I596</f>
        <v>15318.82</v>
      </c>
      <c r="I89" s="214">
        <f t="shared" si="11"/>
        <v>99.928048871971995</v>
      </c>
    </row>
    <row r="90" spans="1:9" x14ac:dyDescent="0.25">
      <c r="A90" s="277"/>
      <c r="B90" s="278"/>
      <c r="C90" s="277"/>
      <c r="D90" s="34">
        <v>240</v>
      </c>
      <c r="E90" s="35" t="s">
        <v>122</v>
      </c>
      <c r="F90" s="32">
        <f>'приложение 4'!G598</f>
        <v>2979.68</v>
      </c>
      <c r="G90" s="32">
        <f>'приложение 4'!H598</f>
        <v>2968.08</v>
      </c>
      <c r="H90" s="32">
        <f>'приложение 4'!I598</f>
        <v>2647.68</v>
      </c>
      <c r="I90" s="214">
        <f t="shared" si="11"/>
        <v>89.205142718525096</v>
      </c>
    </row>
    <row r="91" spans="1:9" x14ac:dyDescent="0.25">
      <c r="A91" s="277"/>
      <c r="B91" s="278"/>
      <c r="C91" s="277"/>
      <c r="D91" s="34">
        <v>830</v>
      </c>
      <c r="E91" s="35" t="s">
        <v>122</v>
      </c>
      <c r="F91" s="32">
        <f>'приложение 4'!G600</f>
        <v>2.5300000000000002</v>
      </c>
      <c r="G91" s="32">
        <f>'приложение 4'!H600</f>
        <v>2.5299999999999998</v>
      </c>
      <c r="H91" s="32">
        <f>'приложение 4'!I600</f>
        <v>2.5299999999999998</v>
      </c>
      <c r="I91" s="214">
        <f t="shared" si="11"/>
        <v>100</v>
      </c>
    </row>
    <row r="92" spans="1:9" x14ac:dyDescent="0.25">
      <c r="A92" s="277"/>
      <c r="B92" s="278"/>
      <c r="C92" s="277"/>
      <c r="D92" s="34">
        <v>850</v>
      </c>
      <c r="E92" s="35" t="s">
        <v>122</v>
      </c>
      <c r="F92" s="32">
        <f>'приложение 4'!G601</f>
        <v>1317.23</v>
      </c>
      <c r="G92" s="32">
        <f>'приложение 4'!H601</f>
        <v>1317.23</v>
      </c>
      <c r="H92" s="32">
        <f>'приложение 4'!I601</f>
        <v>1304.18</v>
      </c>
      <c r="I92" s="214">
        <f t="shared" si="11"/>
        <v>99.009284635181402</v>
      </c>
    </row>
    <row r="93" spans="1:9" ht="45" x14ac:dyDescent="0.25">
      <c r="A93" s="182">
        <v>71</v>
      </c>
      <c r="B93" s="185" t="s">
        <v>564</v>
      </c>
      <c r="C93" s="179" t="str">
        <f>'приложение 4'!E602</f>
        <v>0340010350</v>
      </c>
      <c r="D93" s="182">
        <v>110</v>
      </c>
      <c r="E93" s="179" t="s">
        <v>122</v>
      </c>
      <c r="F93" s="32">
        <f>'приложение 4'!G604</f>
        <v>118.72</v>
      </c>
      <c r="G93" s="32">
        <f>'приложение 4'!H604</f>
        <v>118.72</v>
      </c>
      <c r="H93" s="32">
        <f>'приложение 4'!I604</f>
        <v>118.72</v>
      </c>
      <c r="I93" s="214">
        <f t="shared" si="11"/>
        <v>100</v>
      </c>
    </row>
    <row r="94" spans="1:9" ht="30" x14ac:dyDescent="0.25">
      <c r="A94" s="114">
        <v>72</v>
      </c>
      <c r="B94" s="116" t="s">
        <v>491</v>
      </c>
      <c r="C94" s="115" t="str">
        <f>'приложение 4'!E607</f>
        <v>0340010360</v>
      </c>
      <c r="D94" s="114">
        <v>110</v>
      </c>
      <c r="E94" s="115" t="s">
        <v>122</v>
      </c>
      <c r="F94" s="32">
        <f>'приложение 4'!G605</f>
        <v>794.67</v>
      </c>
      <c r="G94" s="32">
        <f>'приложение 4'!H605</f>
        <v>794.67</v>
      </c>
      <c r="H94" s="32">
        <f>'приложение 4'!I605</f>
        <v>794.67</v>
      </c>
      <c r="I94" s="214">
        <f t="shared" si="11"/>
        <v>100</v>
      </c>
    </row>
    <row r="95" spans="1:9" ht="45" x14ac:dyDescent="0.25">
      <c r="A95" s="34">
        <v>73</v>
      </c>
      <c r="B95" s="55" t="s">
        <v>353</v>
      </c>
      <c r="C95" s="35" t="str">
        <f>'приложение 4'!E608</f>
        <v>0340010490</v>
      </c>
      <c r="D95" s="34">
        <v>110</v>
      </c>
      <c r="E95" s="35" t="s">
        <v>122</v>
      </c>
      <c r="F95" s="32">
        <f>'приложение 4'!G610</f>
        <v>343.37</v>
      </c>
      <c r="G95" s="32">
        <f>'приложение 4'!H610</f>
        <v>343.37</v>
      </c>
      <c r="H95" s="32">
        <f>'приложение 4'!I610</f>
        <v>343.37</v>
      </c>
      <c r="I95" s="214">
        <f t="shared" si="11"/>
        <v>100</v>
      </c>
    </row>
    <row r="96" spans="1:9" ht="38.25" customHeight="1" x14ac:dyDescent="0.25">
      <c r="A96" s="277">
        <v>74</v>
      </c>
      <c r="B96" s="287" t="s">
        <v>152</v>
      </c>
      <c r="C96" s="277" t="str">
        <f>'приложение 4'!E342</f>
        <v>0340075520</v>
      </c>
      <c r="D96" s="34">
        <v>120</v>
      </c>
      <c r="E96" s="35" t="s">
        <v>122</v>
      </c>
      <c r="F96" s="32">
        <f>'приложение 4'!G344</f>
        <v>1424.74</v>
      </c>
      <c r="G96" s="32">
        <f>'приложение 4'!H344</f>
        <v>1424.74</v>
      </c>
      <c r="H96" s="32">
        <f>'приложение 4'!I344</f>
        <v>1347.02</v>
      </c>
      <c r="I96" s="214">
        <f t="shared" si="11"/>
        <v>94.544969608489964</v>
      </c>
    </row>
    <row r="97" spans="1:9" ht="42" customHeight="1" x14ac:dyDescent="0.25">
      <c r="A97" s="277"/>
      <c r="B97" s="287"/>
      <c r="C97" s="277"/>
      <c r="D97" s="34">
        <v>240</v>
      </c>
      <c r="E97" s="35" t="s">
        <v>122</v>
      </c>
      <c r="F97" s="32">
        <f>'приложение 4'!G346</f>
        <v>394.96</v>
      </c>
      <c r="G97" s="32">
        <f>'приложение 4'!H346</f>
        <v>394.96</v>
      </c>
      <c r="H97" s="32">
        <f>'приложение 4'!I346</f>
        <v>394.96</v>
      </c>
      <c r="I97" s="214">
        <f t="shared" si="11"/>
        <v>100</v>
      </c>
    </row>
    <row r="98" spans="1:9" ht="56.25" customHeight="1" x14ac:dyDescent="0.25">
      <c r="A98" s="277">
        <v>75</v>
      </c>
      <c r="B98" s="288" t="s">
        <v>366</v>
      </c>
      <c r="C98" s="277" t="str">
        <f>'приложение 4'!E626</f>
        <v>0340075560</v>
      </c>
      <c r="D98" s="34">
        <v>320</v>
      </c>
      <c r="E98" s="35" t="s">
        <v>171</v>
      </c>
      <c r="F98" s="32">
        <f>'приложение 4'!G628</f>
        <v>603.48000000000025</v>
      </c>
      <c r="G98" s="32">
        <f>'приложение 4'!H628</f>
        <v>603.48</v>
      </c>
      <c r="H98" s="32">
        <f>'приложение 4'!I628</f>
        <v>477.13</v>
      </c>
      <c r="I98" s="214">
        <f t="shared" si="11"/>
        <v>79.06310068270696</v>
      </c>
    </row>
    <row r="99" spans="1:9" ht="61.5" customHeight="1" x14ac:dyDescent="0.25">
      <c r="A99" s="277"/>
      <c r="B99" s="288"/>
      <c r="C99" s="277"/>
      <c r="D99" s="34">
        <v>240</v>
      </c>
      <c r="E99" s="35" t="s">
        <v>171</v>
      </c>
      <c r="F99" s="32">
        <f>'приложение 4'!G630</f>
        <v>30.92</v>
      </c>
      <c r="G99" s="32">
        <f>'приложение 4'!H630</f>
        <v>30.92</v>
      </c>
      <c r="H99" s="32">
        <f>'приложение 4'!I630</f>
        <v>0</v>
      </c>
      <c r="I99" s="214">
        <f t="shared" si="11"/>
        <v>0</v>
      </c>
    </row>
    <row r="100" spans="1:9" ht="28.5" x14ac:dyDescent="0.25">
      <c r="A100" s="34">
        <v>76</v>
      </c>
      <c r="B100" s="91" t="s">
        <v>226</v>
      </c>
      <c r="C100" s="49" t="s">
        <v>215</v>
      </c>
      <c r="D100" s="34"/>
      <c r="E100" s="35"/>
      <c r="F100" s="51">
        <f>F101+F107+F109</f>
        <v>6124.7639999999992</v>
      </c>
      <c r="G100" s="51">
        <f>G101+G107+G109</f>
        <v>6124.7639999999992</v>
      </c>
      <c r="H100" s="51">
        <f>H101+H107+H109</f>
        <v>6016.4</v>
      </c>
      <c r="I100" s="214">
        <f t="shared" si="11"/>
        <v>98.230723665434297</v>
      </c>
    </row>
    <row r="101" spans="1:9" ht="30" x14ac:dyDescent="0.25">
      <c r="A101" s="34">
        <v>77</v>
      </c>
      <c r="B101" s="111" t="s">
        <v>320</v>
      </c>
      <c r="C101" s="46" t="s">
        <v>247</v>
      </c>
      <c r="D101" s="48"/>
      <c r="E101" s="49"/>
      <c r="F101" s="40">
        <f>F102+F105+F106+F104+F103</f>
        <v>6035.7639999999992</v>
      </c>
      <c r="G101" s="40">
        <f t="shared" ref="G101:H101" si="16">G102+G105+G106+G104+G103</f>
        <v>6035.7639999999992</v>
      </c>
      <c r="H101" s="40">
        <f t="shared" si="16"/>
        <v>5927.4</v>
      </c>
      <c r="I101" s="214">
        <f t="shared" si="11"/>
        <v>98.204634906202443</v>
      </c>
    </row>
    <row r="102" spans="1:9" ht="60" x14ac:dyDescent="0.25">
      <c r="A102" s="34">
        <v>78</v>
      </c>
      <c r="B102" s="78" t="s">
        <v>374</v>
      </c>
      <c r="C102" s="35" t="s">
        <v>321</v>
      </c>
      <c r="D102" s="34">
        <v>610</v>
      </c>
      <c r="E102" s="35" t="s">
        <v>121</v>
      </c>
      <c r="F102" s="50">
        <f>'приложение 4'!G659</f>
        <v>5275.28</v>
      </c>
      <c r="G102" s="50">
        <f>'приложение 4'!H659</f>
        <v>5275.28</v>
      </c>
      <c r="H102" s="50">
        <f>'приложение 4'!I659</f>
        <v>5166.92</v>
      </c>
      <c r="I102" s="214">
        <f t="shared" si="11"/>
        <v>97.945891023794005</v>
      </c>
    </row>
    <row r="103" spans="1:9" ht="45" x14ac:dyDescent="0.25">
      <c r="A103" s="182">
        <v>79</v>
      </c>
      <c r="B103" s="185" t="s">
        <v>564</v>
      </c>
      <c r="C103" s="179" t="str">
        <f>'приложение 4'!E660</f>
        <v>0410010350</v>
      </c>
      <c r="D103" s="182">
        <v>610</v>
      </c>
      <c r="E103" s="179" t="s">
        <v>121</v>
      </c>
      <c r="F103" s="50">
        <f>'приложение 4'!G660</f>
        <v>43.11</v>
      </c>
      <c r="G103" s="50">
        <f>'приложение 4'!H660</f>
        <v>43.11</v>
      </c>
      <c r="H103" s="50">
        <f>'приложение 4'!I660</f>
        <v>43.11</v>
      </c>
      <c r="I103" s="214">
        <f t="shared" si="11"/>
        <v>100</v>
      </c>
    </row>
    <row r="104" spans="1:9" ht="30" x14ac:dyDescent="0.25">
      <c r="A104" s="117">
        <v>80</v>
      </c>
      <c r="B104" s="119" t="s">
        <v>491</v>
      </c>
      <c r="C104" s="118" t="str">
        <f>'приложение 4'!E665</f>
        <v>0410010360</v>
      </c>
      <c r="D104" s="117">
        <v>610</v>
      </c>
      <c r="E104" s="118" t="s">
        <v>121</v>
      </c>
      <c r="F104" s="50">
        <f>'приложение 4'!G665</f>
        <v>267.714</v>
      </c>
      <c r="G104" s="50">
        <f>'приложение 4'!H665</f>
        <v>267.714</v>
      </c>
      <c r="H104" s="50">
        <f>'приложение 4'!I665</f>
        <v>267.70999999999998</v>
      </c>
      <c r="I104" s="214">
        <f t="shared" si="11"/>
        <v>99.998505868202628</v>
      </c>
    </row>
    <row r="105" spans="1:9" ht="45" x14ac:dyDescent="0.25">
      <c r="A105" s="34">
        <v>81</v>
      </c>
      <c r="B105" s="55" t="s">
        <v>353</v>
      </c>
      <c r="C105" s="35" t="str">
        <f>'приложение 4'!E666</f>
        <v>0410010490</v>
      </c>
      <c r="D105" s="34">
        <v>610</v>
      </c>
      <c r="E105" s="35" t="s">
        <v>121</v>
      </c>
      <c r="F105" s="50">
        <f>'приложение 4'!G668</f>
        <v>35.86</v>
      </c>
      <c r="G105" s="50">
        <f>'приложение 4'!H668</f>
        <v>35.86</v>
      </c>
      <c r="H105" s="50">
        <f>'приложение 4'!I668</f>
        <v>35.86</v>
      </c>
      <c r="I105" s="214">
        <f t="shared" si="11"/>
        <v>100</v>
      </c>
    </row>
    <row r="106" spans="1:9" ht="69.75" customHeight="1" x14ac:dyDescent="0.25">
      <c r="A106" s="104">
        <v>82</v>
      </c>
      <c r="B106" s="108" t="s">
        <v>390</v>
      </c>
      <c r="C106" s="35" t="s">
        <v>322</v>
      </c>
      <c r="D106" s="34">
        <v>610</v>
      </c>
      <c r="E106" s="35" t="s">
        <v>121</v>
      </c>
      <c r="F106" s="50">
        <f>'приложение 4'!G671</f>
        <v>413.8</v>
      </c>
      <c r="G106" s="50">
        <f>'приложение 4'!H671</f>
        <v>413.8</v>
      </c>
      <c r="H106" s="50">
        <f>'приложение 4'!I671</f>
        <v>413.8</v>
      </c>
      <c r="I106" s="214">
        <f t="shared" si="11"/>
        <v>100</v>
      </c>
    </row>
    <row r="107" spans="1:9" ht="30" x14ac:dyDescent="0.25">
      <c r="A107" s="34">
        <v>83</v>
      </c>
      <c r="B107" s="57" t="s">
        <v>326</v>
      </c>
      <c r="C107" s="46" t="s">
        <v>216</v>
      </c>
      <c r="D107" s="48"/>
      <c r="E107" s="49"/>
      <c r="F107" s="40">
        <f>F108</f>
        <v>59</v>
      </c>
      <c r="G107" s="40">
        <f t="shared" ref="G107:H107" si="17">G108</f>
        <v>59</v>
      </c>
      <c r="H107" s="40">
        <f t="shared" si="17"/>
        <v>59</v>
      </c>
      <c r="I107" s="214">
        <f t="shared" si="11"/>
        <v>100</v>
      </c>
    </row>
    <row r="108" spans="1:9" ht="75" x14ac:dyDescent="0.25">
      <c r="A108" s="34">
        <v>84</v>
      </c>
      <c r="B108" s="55" t="s">
        <v>375</v>
      </c>
      <c r="C108" s="35" t="s">
        <v>324</v>
      </c>
      <c r="D108" s="34">
        <v>610</v>
      </c>
      <c r="E108" s="35" t="s">
        <v>121</v>
      </c>
      <c r="F108" s="32">
        <f>'приложение 4'!G675</f>
        <v>59</v>
      </c>
      <c r="G108" s="32">
        <f>'приложение 4'!H675</f>
        <v>59</v>
      </c>
      <c r="H108" s="32">
        <f>'приложение 4'!I675</f>
        <v>59</v>
      </c>
      <c r="I108" s="214">
        <f t="shared" si="11"/>
        <v>100</v>
      </c>
    </row>
    <row r="109" spans="1:9" ht="45" x14ac:dyDescent="0.25">
      <c r="A109" s="34">
        <v>85</v>
      </c>
      <c r="B109" s="57" t="s">
        <v>328</v>
      </c>
      <c r="C109" s="46" t="s">
        <v>248</v>
      </c>
      <c r="D109" s="34"/>
      <c r="E109" s="35"/>
      <c r="F109" s="40">
        <f>F110</f>
        <v>30</v>
      </c>
      <c r="G109" s="40">
        <f t="shared" ref="G109:H109" si="18">G110</f>
        <v>30</v>
      </c>
      <c r="H109" s="40">
        <f t="shared" si="18"/>
        <v>30</v>
      </c>
      <c r="I109" s="214">
        <f t="shared" si="11"/>
        <v>100</v>
      </c>
    </row>
    <row r="110" spans="1:9" ht="105" x14ac:dyDescent="0.25">
      <c r="A110" s="34">
        <v>86</v>
      </c>
      <c r="B110" s="55" t="s">
        <v>376</v>
      </c>
      <c r="C110" s="35" t="s">
        <v>325</v>
      </c>
      <c r="D110" s="34">
        <v>610</v>
      </c>
      <c r="E110" s="35" t="s">
        <v>121</v>
      </c>
      <c r="F110" s="32">
        <f>'приложение 4'!G679</f>
        <v>30</v>
      </c>
      <c r="G110" s="32">
        <f>'приложение 4'!H679</f>
        <v>30</v>
      </c>
      <c r="H110" s="32">
        <f>'приложение 4'!I679</f>
        <v>30</v>
      </c>
      <c r="I110" s="214">
        <f t="shared" si="11"/>
        <v>100</v>
      </c>
    </row>
    <row r="111" spans="1:9" ht="28.5" x14ac:dyDescent="0.25">
      <c r="A111" s="34">
        <v>87</v>
      </c>
      <c r="B111" s="91" t="s">
        <v>227</v>
      </c>
      <c r="C111" s="49" t="s">
        <v>173</v>
      </c>
      <c r="D111" s="48"/>
      <c r="E111" s="49"/>
      <c r="F111" s="51">
        <f>F112+F116</f>
        <v>110109.45</v>
      </c>
      <c r="G111" s="51">
        <f t="shared" ref="G111:H111" si="19">G112+G116</f>
        <v>110109.45</v>
      </c>
      <c r="H111" s="51">
        <f t="shared" si="19"/>
        <v>107965.72</v>
      </c>
      <c r="I111" s="214">
        <f t="shared" si="11"/>
        <v>98.053091719193958</v>
      </c>
    </row>
    <row r="112" spans="1:9" ht="60" x14ac:dyDescent="0.25">
      <c r="A112" s="34">
        <v>88</v>
      </c>
      <c r="B112" s="111" t="s">
        <v>28</v>
      </c>
      <c r="C112" s="46" t="s">
        <v>179</v>
      </c>
      <c r="D112" s="48"/>
      <c r="E112" s="49"/>
      <c r="F112" s="40">
        <f>F113+F114+F115</f>
        <v>96024.5</v>
      </c>
      <c r="G112" s="40">
        <f t="shared" ref="G112:H112" si="20">G113+G114+G115</f>
        <v>96024.5</v>
      </c>
      <c r="H112" s="40">
        <f t="shared" si="20"/>
        <v>93977.600000000006</v>
      </c>
      <c r="I112" s="214">
        <f t="shared" si="11"/>
        <v>97.868356513181539</v>
      </c>
    </row>
    <row r="113" spans="1:9" ht="120" x14ac:dyDescent="0.25">
      <c r="A113" s="34">
        <v>89</v>
      </c>
      <c r="B113" s="95" t="s">
        <v>463</v>
      </c>
      <c r="C113" s="34" t="str">
        <f>'приложение 4'!E125</f>
        <v>0510076010</v>
      </c>
      <c r="D113" s="34">
        <v>510</v>
      </c>
      <c r="E113" s="35" t="s">
        <v>133</v>
      </c>
      <c r="F113" s="32">
        <f>'приложение 4'!G127</f>
        <v>13931</v>
      </c>
      <c r="G113" s="32">
        <f>'приложение 4'!H127</f>
        <v>13931</v>
      </c>
      <c r="H113" s="32">
        <f>'приложение 4'!I127</f>
        <v>13931</v>
      </c>
      <c r="I113" s="214">
        <f t="shared" si="11"/>
        <v>100</v>
      </c>
    </row>
    <row r="114" spans="1:9" ht="90" x14ac:dyDescent="0.25">
      <c r="A114" s="34">
        <v>90</v>
      </c>
      <c r="B114" s="60" t="s">
        <v>407</v>
      </c>
      <c r="C114" s="34" t="str">
        <f>'приложение 4'!E128</f>
        <v>0510050010</v>
      </c>
      <c r="D114" s="34">
        <v>510</v>
      </c>
      <c r="E114" s="35" t="s">
        <v>133</v>
      </c>
      <c r="F114" s="32">
        <f>'приложение 4'!G130</f>
        <v>19091.59</v>
      </c>
      <c r="G114" s="32">
        <f>'приложение 4'!H130</f>
        <v>19091.59</v>
      </c>
      <c r="H114" s="32">
        <f>'приложение 4'!I130</f>
        <v>19091.59</v>
      </c>
      <c r="I114" s="214">
        <f t="shared" si="11"/>
        <v>100</v>
      </c>
    </row>
    <row r="115" spans="1:9" ht="105" x14ac:dyDescent="0.25">
      <c r="A115" s="34">
        <v>91</v>
      </c>
      <c r="B115" s="95" t="s">
        <v>464</v>
      </c>
      <c r="C115" s="34" t="str">
        <f>'приложение 4'!E134</f>
        <v>0510050030</v>
      </c>
      <c r="D115" s="34">
        <v>540</v>
      </c>
      <c r="E115" s="35" t="s">
        <v>134</v>
      </c>
      <c r="F115" s="32">
        <f>'приложение 4'!G136</f>
        <v>63001.91</v>
      </c>
      <c r="G115" s="32">
        <f>'приложение 4'!H136</f>
        <v>63001.91</v>
      </c>
      <c r="H115" s="32">
        <f>'приложение 4'!I136</f>
        <v>60955.01</v>
      </c>
      <c r="I115" s="214">
        <f t="shared" si="11"/>
        <v>96.751050880838378</v>
      </c>
    </row>
    <row r="116" spans="1:9" ht="30" x14ac:dyDescent="0.25">
      <c r="A116" s="34">
        <v>92</v>
      </c>
      <c r="B116" s="111" t="s">
        <v>15</v>
      </c>
      <c r="C116" s="46" t="s">
        <v>174</v>
      </c>
      <c r="D116" s="48"/>
      <c r="E116" s="49"/>
      <c r="F116" s="40">
        <f>F117+F118+F119+F120+F123+F122+F121</f>
        <v>14084.949999999999</v>
      </c>
      <c r="G116" s="40">
        <f t="shared" ref="G116:H116" si="21">G117+G118+G119+G120+G123+G122+G121</f>
        <v>14084.949999999999</v>
      </c>
      <c r="H116" s="40">
        <f t="shared" si="21"/>
        <v>13988.12</v>
      </c>
      <c r="I116" s="214">
        <f t="shared" si="11"/>
        <v>99.312528620974888</v>
      </c>
    </row>
    <row r="117" spans="1:9" ht="33" customHeight="1" x14ac:dyDescent="0.25">
      <c r="A117" s="277">
        <v>93</v>
      </c>
      <c r="B117" s="291" t="s">
        <v>401</v>
      </c>
      <c r="C117" s="277" t="str">
        <f>'приложение 4'!E18</f>
        <v>0520000210</v>
      </c>
      <c r="D117" s="34">
        <v>120</v>
      </c>
      <c r="E117" s="35" t="s">
        <v>94</v>
      </c>
      <c r="F117" s="32">
        <f>'приложение 4'!G20</f>
        <v>9590.34</v>
      </c>
      <c r="G117" s="32">
        <f>'приложение 4'!H20</f>
        <v>9590.34</v>
      </c>
      <c r="H117" s="32">
        <f>'приложение 4'!I20</f>
        <v>9519.91</v>
      </c>
      <c r="I117" s="214">
        <f t="shared" si="11"/>
        <v>99.265615191953572</v>
      </c>
    </row>
    <row r="118" spans="1:9" ht="23.25" customHeight="1" x14ac:dyDescent="0.25">
      <c r="A118" s="277"/>
      <c r="B118" s="291"/>
      <c r="C118" s="277"/>
      <c r="D118" s="34">
        <v>240</v>
      </c>
      <c r="E118" s="35" t="s">
        <v>94</v>
      </c>
      <c r="F118" s="32">
        <f>'приложение 4'!G22</f>
        <v>1450.21</v>
      </c>
      <c r="G118" s="32">
        <f>'приложение 4'!H22</f>
        <v>1450.21</v>
      </c>
      <c r="H118" s="32">
        <f>'приложение 4'!I22</f>
        <v>1449.2</v>
      </c>
      <c r="I118" s="214">
        <f t="shared" si="11"/>
        <v>99.930354914115881</v>
      </c>
    </row>
    <row r="119" spans="1:9" ht="27.75" customHeight="1" x14ac:dyDescent="0.25">
      <c r="A119" s="277"/>
      <c r="B119" s="291"/>
      <c r="C119" s="277"/>
      <c r="D119" s="34">
        <v>850</v>
      </c>
      <c r="E119" s="35" t="s">
        <v>94</v>
      </c>
      <c r="F119" s="32">
        <f>'приложение 4'!G24</f>
        <v>5</v>
      </c>
      <c r="G119" s="32">
        <f>'приложение 4'!H24</f>
        <v>5</v>
      </c>
      <c r="H119" s="32">
        <f>'приложение 4'!I24</f>
        <v>1.61</v>
      </c>
      <c r="I119" s="214">
        <f t="shared" si="11"/>
        <v>32.200000000000003</v>
      </c>
    </row>
    <row r="120" spans="1:9" ht="75" x14ac:dyDescent="0.25">
      <c r="A120" s="34">
        <v>94</v>
      </c>
      <c r="B120" s="55" t="s">
        <v>402</v>
      </c>
      <c r="C120" s="35" t="str">
        <f>'приложение 4'!E25</f>
        <v>0520000220</v>
      </c>
      <c r="D120" s="34">
        <v>120</v>
      </c>
      <c r="E120" s="35" t="s">
        <v>94</v>
      </c>
      <c r="F120" s="32">
        <f>'приложение 4'!G27</f>
        <v>1762.25</v>
      </c>
      <c r="G120" s="32">
        <f>'приложение 4'!H27</f>
        <v>1762.25</v>
      </c>
      <c r="H120" s="32">
        <f>'приложение 4'!I27</f>
        <v>1740.25</v>
      </c>
      <c r="I120" s="214">
        <f t="shared" si="11"/>
        <v>98.751595971059729</v>
      </c>
    </row>
    <row r="121" spans="1:9" ht="45" x14ac:dyDescent="0.25">
      <c r="A121" s="174">
        <v>95</v>
      </c>
      <c r="B121" s="176" t="s">
        <v>557</v>
      </c>
      <c r="C121" s="175" t="str">
        <f>'приложение 4'!E29</f>
        <v>0520010350</v>
      </c>
      <c r="D121" s="174">
        <v>120</v>
      </c>
      <c r="E121" s="175" t="s">
        <v>94</v>
      </c>
      <c r="F121" s="32">
        <f>'приложение 4'!G30</f>
        <v>81.39</v>
      </c>
      <c r="G121" s="32">
        <f>'приложение 4'!H30</f>
        <v>81.39</v>
      </c>
      <c r="H121" s="32">
        <f>'приложение 4'!I30</f>
        <v>81.39</v>
      </c>
      <c r="I121" s="214">
        <f t="shared" si="11"/>
        <v>100</v>
      </c>
    </row>
    <row r="122" spans="1:9" ht="30" x14ac:dyDescent="0.25">
      <c r="A122" s="122">
        <v>96</v>
      </c>
      <c r="B122" s="131" t="s">
        <v>491</v>
      </c>
      <c r="C122" s="127" t="str">
        <f>'приложение 4'!E32</f>
        <v>0520010360</v>
      </c>
      <c r="D122" s="122">
        <v>120</v>
      </c>
      <c r="E122" s="127" t="s">
        <v>94</v>
      </c>
      <c r="F122" s="32">
        <f>'приложение 4'!G33</f>
        <v>1076.24</v>
      </c>
      <c r="G122" s="32">
        <f>'приложение 4'!H33</f>
        <v>1076.24</v>
      </c>
      <c r="H122" s="32">
        <f>'приложение 4'!I33</f>
        <v>1076.24</v>
      </c>
      <c r="I122" s="214">
        <f t="shared" si="11"/>
        <v>100</v>
      </c>
    </row>
    <row r="123" spans="1:9" ht="45" x14ac:dyDescent="0.25">
      <c r="A123" s="34">
        <v>97</v>
      </c>
      <c r="B123" s="55" t="s">
        <v>398</v>
      </c>
      <c r="C123" s="35" t="str">
        <f>'приложение 4'!E34</f>
        <v>0520010490</v>
      </c>
      <c r="D123" s="34">
        <v>120</v>
      </c>
      <c r="E123" s="35" t="s">
        <v>94</v>
      </c>
      <c r="F123" s="32">
        <f>'приложение 4'!G36</f>
        <v>119.52</v>
      </c>
      <c r="G123" s="32">
        <f>'приложение 4'!H36</f>
        <v>119.52</v>
      </c>
      <c r="H123" s="32">
        <f>'приложение 4'!I36</f>
        <v>119.52</v>
      </c>
      <c r="I123" s="214">
        <f t="shared" si="11"/>
        <v>100</v>
      </c>
    </row>
    <row r="124" spans="1:9" ht="28.5" x14ac:dyDescent="0.25">
      <c r="A124" s="34">
        <v>98</v>
      </c>
      <c r="B124" s="91" t="s">
        <v>228</v>
      </c>
      <c r="C124" s="49" t="s">
        <v>183</v>
      </c>
      <c r="D124" s="48"/>
      <c r="E124" s="49"/>
      <c r="F124" s="51">
        <f>F125+F131+F137+F143</f>
        <v>5953.7099999999991</v>
      </c>
      <c r="G124" s="51">
        <f>G125+G131+G137+G143</f>
        <v>5953.7099999999991</v>
      </c>
      <c r="H124" s="51">
        <f>H125+H131+H137+H143</f>
        <v>5738.1429999999991</v>
      </c>
      <c r="I124" s="214">
        <f t="shared" si="11"/>
        <v>96.37928283372888</v>
      </c>
    </row>
    <row r="125" spans="1:9" ht="45" x14ac:dyDescent="0.25">
      <c r="A125" s="34">
        <v>99</v>
      </c>
      <c r="B125" s="111" t="s">
        <v>431</v>
      </c>
      <c r="C125" s="46" t="s">
        <v>184</v>
      </c>
      <c r="D125" s="48"/>
      <c r="E125" s="49"/>
      <c r="F125" s="40">
        <f>F126+F129+F130</f>
        <v>1620.58</v>
      </c>
      <c r="G125" s="40">
        <f t="shared" ref="G125:H125" si="22">G126+G129+G130</f>
        <v>1620.58</v>
      </c>
      <c r="H125" s="40">
        <f t="shared" si="22"/>
        <v>1620.37</v>
      </c>
      <c r="I125" s="214">
        <f t="shared" si="11"/>
        <v>99.987041676436831</v>
      </c>
    </row>
    <row r="126" spans="1:9" x14ac:dyDescent="0.25">
      <c r="A126" s="277">
        <v>100</v>
      </c>
      <c r="B126" s="278" t="s">
        <v>399</v>
      </c>
      <c r="C126" s="277" t="s">
        <v>295</v>
      </c>
      <c r="D126" s="277">
        <v>240</v>
      </c>
      <c r="E126" s="271" t="s">
        <v>96</v>
      </c>
      <c r="F126" s="296">
        <f>'приложение 4'!G497</f>
        <v>400</v>
      </c>
      <c r="G126" s="296">
        <f>'приложение 4'!H497</f>
        <v>400</v>
      </c>
      <c r="H126" s="296">
        <f>'приложение 4'!I497</f>
        <v>400</v>
      </c>
      <c r="I126" s="253">
        <f t="shared" si="11"/>
        <v>100</v>
      </c>
    </row>
    <row r="127" spans="1:9" x14ac:dyDescent="0.25">
      <c r="A127" s="277"/>
      <c r="B127" s="278"/>
      <c r="C127" s="277"/>
      <c r="D127" s="277"/>
      <c r="E127" s="271"/>
      <c r="F127" s="274"/>
      <c r="G127" s="274"/>
      <c r="H127" s="274"/>
      <c r="I127" s="254"/>
    </row>
    <row r="128" spans="1:9" x14ac:dyDescent="0.25">
      <c r="A128" s="277"/>
      <c r="B128" s="278"/>
      <c r="C128" s="277"/>
      <c r="D128" s="277"/>
      <c r="E128" s="271"/>
      <c r="F128" s="274"/>
      <c r="G128" s="274"/>
      <c r="H128" s="274"/>
      <c r="I128" s="255"/>
    </row>
    <row r="129" spans="1:9" ht="60" x14ac:dyDescent="0.25">
      <c r="A129" s="34">
        <v>101</v>
      </c>
      <c r="B129" s="78" t="s">
        <v>400</v>
      </c>
      <c r="C129" s="35" t="s">
        <v>296</v>
      </c>
      <c r="D129" s="34">
        <v>240</v>
      </c>
      <c r="E129" s="35" t="s">
        <v>96</v>
      </c>
      <c r="F129" s="50">
        <f>'приложение 4'!G500</f>
        <v>249.28</v>
      </c>
      <c r="G129" s="50">
        <f>'приложение 4'!H500</f>
        <v>249.28</v>
      </c>
      <c r="H129" s="50">
        <f>'приложение 4'!I500</f>
        <v>249.28</v>
      </c>
      <c r="I129" s="214">
        <f t="shared" si="11"/>
        <v>100</v>
      </c>
    </row>
    <row r="130" spans="1:9" ht="60" x14ac:dyDescent="0.25">
      <c r="A130" s="132">
        <v>102</v>
      </c>
      <c r="B130" s="136" t="s">
        <v>546</v>
      </c>
      <c r="C130" s="133" t="str">
        <f>'приложение 4'!E141</f>
        <v>06100S7450</v>
      </c>
      <c r="D130" s="132">
        <v>540</v>
      </c>
      <c r="E130" s="133" t="s">
        <v>134</v>
      </c>
      <c r="F130" s="50">
        <f>'приложение 4'!G141</f>
        <v>971.3</v>
      </c>
      <c r="G130" s="50">
        <f>'приложение 4'!H141</f>
        <v>971.3</v>
      </c>
      <c r="H130" s="50">
        <f>'приложение 4'!I141</f>
        <v>971.09</v>
      </c>
      <c r="I130" s="214">
        <f t="shared" si="11"/>
        <v>99.978379491403274</v>
      </c>
    </row>
    <row r="131" spans="1:9" x14ac:dyDescent="0.25">
      <c r="A131" s="277">
        <v>103</v>
      </c>
      <c r="B131" s="289" t="s">
        <v>306</v>
      </c>
      <c r="C131" s="290" t="s">
        <v>198</v>
      </c>
      <c r="D131" s="292"/>
      <c r="E131" s="292"/>
      <c r="F131" s="297">
        <f>F134+F135+F136</f>
        <v>3022.73</v>
      </c>
      <c r="G131" s="297">
        <f t="shared" ref="G131" si="23">G134+G135+G136</f>
        <v>3022.73</v>
      </c>
      <c r="H131" s="297">
        <f t="shared" ref="H131" si="24">H134+H135+H136</f>
        <v>2865.77</v>
      </c>
      <c r="I131" s="253">
        <f t="shared" si="11"/>
        <v>94.807343030968696</v>
      </c>
    </row>
    <row r="132" spans="1:9" x14ac:dyDescent="0.25">
      <c r="A132" s="277"/>
      <c r="B132" s="289"/>
      <c r="C132" s="290"/>
      <c r="D132" s="292"/>
      <c r="E132" s="292"/>
      <c r="F132" s="292"/>
      <c r="G132" s="292"/>
      <c r="H132" s="292"/>
      <c r="I132" s="254"/>
    </row>
    <row r="133" spans="1:9" x14ac:dyDescent="0.25">
      <c r="A133" s="277"/>
      <c r="B133" s="289"/>
      <c r="C133" s="290"/>
      <c r="D133" s="292"/>
      <c r="E133" s="292"/>
      <c r="F133" s="292"/>
      <c r="G133" s="292"/>
      <c r="H133" s="292"/>
      <c r="I133" s="255"/>
    </row>
    <row r="134" spans="1:9" ht="75" x14ac:dyDescent="0.25">
      <c r="A134" s="122">
        <v>104</v>
      </c>
      <c r="B134" s="129" t="s">
        <v>512</v>
      </c>
      <c r="C134" s="124" t="str">
        <f>'приложение 4'!E97</f>
        <v>06200S4590</v>
      </c>
      <c r="D134" s="123">
        <v>520</v>
      </c>
      <c r="E134" s="127" t="s">
        <v>305</v>
      </c>
      <c r="F134" s="50">
        <f>'приложение 4'!G97</f>
        <v>1000</v>
      </c>
      <c r="G134" s="130">
        <f>'приложение 4'!H97</f>
        <v>1000</v>
      </c>
      <c r="H134" s="204">
        <f>'приложение 4'!I97</f>
        <v>854.44</v>
      </c>
      <c r="I134" s="214">
        <f t="shared" si="11"/>
        <v>85.444000000000003</v>
      </c>
    </row>
    <row r="135" spans="1:9" ht="75" x14ac:dyDescent="0.25">
      <c r="A135" s="122">
        <v>105</v>
      </c>
      <c r="B135" s="129" t="s">
        <v>514</v>
      </c>
      <c r="C135" s="124" t="str">
        <f>'приложение 4'!E100</f>
        <v>06200S7410</v>
      </c>
      <c r="D135" s="123">
        <v>520</v>
      </c>
      <c r="E135" s="127" t="s">
        <v>305</v>
      </c>
      <c r="F135" s="50">
        <f>'приложение 4'!J100</f>
        <v>1772.73</v>
      </c>
      <c r="G135" s="50">
        <f>'приложение 4'!H100</f>
        <v>1772.73</v>
      </c>
      <c r="H135" s="50">
        <f>'приложение 4'!I100</f>
        <v>1772.73</v>
      </c>
      <c r="I135" s="214">
        <f t="shared" si="11"/>
        <v>100</v>
      </c>
    </row>
    <row r="136" spans="1:9" ht="60" x14ac:dyDescent="0.25">
      <c r="A136" s="122">
        <v>106</v>
      </c>
      <c r="B136" s="129" t="s">
        <v>516</v>
      </c>
      <c r="C136" s="124" t="str">
        <f>'приложение 4'!E101</f>
        <v>06200S7490</v>
      </c>
      <c r="D136" s="123">
        <v>520</v>
      </c>
      <c r="E136" s="127" t="s">
        <v>305</v>
      </c>
      <c r="F136" s="50">
        <f>'приложение 4'!G103</f>
        <v>250</v>
      </c>
      <c r="G136" s="50">
        <f>'приложение 4'!H103</f>
        <v>250</v>
      </c>
      <c r="H136" s="50">
        <f>'приложение 4'!I103</f>
        <v>238.6</v>
      </c>
      <c r="I136" s="214">
        <f t="shared" si="11"/>
        <v>95.44</v>
      </c>
    </row>
    <row r="137" spans="1:9" ht="30" x14ac:dyDescent="0.25">
      <c r="A137" s="34">
        <v>107</v>
      </c>
      <c r="B137" s="57" t="s">
        <v>15</v>
      </c>
      <c r="C137" s="49" t="s">
        <v>432</v>
      </c>
      <c r="D137" s="34"/>
      <c r="E137" s="35"/>
      <c r="F137" s="32">
        <f>F138+F139+F141+F142</f>
        <v>1110.4000000000001</v>
      </c>
      <c r="G137" s="32">
        <f t="shared" ref="G137:H137" si="25">G138+G139+G141+G142</f>
        <v>1110.4000000000001</v>
      </c>
      <c r="H137" s="32">
        <f t="shared" si="25"/>
        <v>1052.0029999999999</v>
      </c>
      <c r="I137" s="214">
        <f t="shared" si="11"/>
        <v>94.740904178674327</v>
      </c>
    </row>
    <row r="138" spans="1:9" ht="72.75" customHeight="1" x14ac:dyDescent="0.25">
      <c r="A138" s="198">
        <v>108</v>
      </c>
      <c r="B138" s="206" t="s">
        <v>443</v>
      </c>
      <c r="C138" s="195" t="str">
        <f>'приложение 4'!E351</f>
        <v>0630001110</v>
      </c>
      <c r="D138" s="34">
        <v>310</v>
      </c>
      <c r="E138" s="35" t="s">
        <v>129</v>
      </c>
      <c r="F138" s="32">
        <f>'приложение 4'!G353</f>
        <v>933.47</v>
      </c>
      <c r="G138" s="32">
        <f>'приложение 4'!H353</f>
        <v>933.47</v>
      </c>
      <c r="H138" s="32">
        <f>'приложение 4'!I353</f>
        <v>925.07</v>
      </c>
      <c r="I138" s="214">
        <f t="shared" si="11"/>
        <v>99.100131766419921</v>
      </c>
    </row>
    <row r="139" spans="1:9" ht="34.5" customHeight="1" x14ac:dyDescent="0.25">
      <c r="A139" s="248">
        <v>109</v>
      </c>
      <c r="B139" s="263" t="s">
        <v>454</v>
      </c>
      <c r="C139" s="250" t="str">
        <f>'приложение 4'!E376</f>
        <v>0630080010</v>
      </c>
      <c r="D139" s="248">
        <v>240</v>
      </c>
      <c r="E139" s="250" t="s">
        <v>131</v>
      </c>
      <c r="F139" s="244">
        <f>'приложение 4'!G378</f>
        <v>50</v>
      </c>
      <c r="G139" s="244">
        <f>'приложение 4'!H378</f>
        <v>50</v>
      </c>
      <c r="H139" s="244">
        <f>'приложение 4'!I378</f>
        <v>0</v>
      </c>
      <c r="I139" s="253">
        <f t="shared" si="11"/>
        <v>0</v>
      </c>
    </row>
    <row r="140" spans="1:9" ht="34.5" customHeight="1" x14ac:dyDescent="0.25">
      <c r="A140" s="249"/>
      <c r="B140" s="264"/>
      <c r="C140" s="251"/>
      <c r="D140" s="249"/>
      <c r="E140" s="251"/>
      <c r="F140" s="245"/>
      <c r="G140" s="245"/>
      <c r="H140" s="245"/>
      <c r="I140" s="255"/>
    </row>
    <row r="141" spans="1:9" ht="22.5" customHeight="1" x14ac:dyDescent="0.25">
      <c r="A141" s="277">
        <v>110</v>
      </c>
      <c r="B141" s="295" t="s">
        <v>447</v>
      </c>
      <c r="C141" s="271" t="str">
        <f>'приложение 4'!E379</f>
        <v>0630080020</v>
      </c>
      <c r="D141" s="34">
        <v>320</v>
      </c>
      <c r="E141" s="35" t="s">
        <v>131</v>
      </c>
      <c r="F141" s="32">
        <f>'приложение 4'!G381</f>
        <v>116.22</v>
      </c>
      <c r="G141" s="32">
        <f>'приложение 4'!H381</f>
        <v>116.22</v>
      </c>
      <c r="H141" s="32">
        <f>'приложение 4'!I381</f>
        <v>116.22</v>
      </c>
      <c r="I141" s="214">
        <f t="shared" ref="I141:I203" si="26">H141/G141*100</f>
        <v>100</v>
      </c>
    </row>
    <row r="142" spans="1:9" ht="21.75" customHeight="1" x14ac:dyDescent="0.25">
      <c r="A142" s="277"/>
      <c r="B142" s="295"/>
      <c r="C142" s="279"/>
      <c r="D142" s="34">
        <v>240</v>
      </c>
      <c r="E142" s="35" t="s">
        <v>131</v>
      </c>
      <c r="F142" s="32">
        <f>'приложение 4'!G383</f>
        <v>10.71</v>
      </c>
      <c r="G142" s="32">
        <f>'приложение 4'!H383</f>
        <v>10.71</v>
      </c>
      <c r="H142" s="32">
        <f>'приложение 4'!I383</f>
        <v>10.712999999999999</v>
      </c>
      <c r="I142" s="214">
        <f t="shared" si="26"/>
        <v>100.02801120448177</v>
      </c>
    </row>
    <row r="143" spans="1:9" x14ac:dyDescent="0.25">
      <c r="A143" s="100">
        <v>111</v>
      </c>
      <c r="B143" s="111" t="s">
        <v>40</v>
      </c>
      <c r="C143" s="46" t="s">
        <v>309</v>
      </c>
      <c r="D143" s="48"/>
      <c r="E143" s="49"/>
      <c r="F143" s="40">
        <f>F144</f>
        <v>200</v>
      </c>
      <c r="G143" s="40">
        <f t="shared" ref="G143:H143" si="27">G144</f>
        <v>200</v>
      </c>
      <c r="H143" s="40">
        <f t="shared" si="27"/>
        <v>200</v>
      </c>
      <c r="I143" s="214">
        <f t="shared" si="26"/>
        <v>100</v>
      </c>
    </row>
    <row r="144" spans="1:9" x14ac:dyDescent="0.25">
      <c r="A144" s="277">
        <v>112</v>
      </c>
      <c r="B144" s="278" t="s">
        <v>298</v>
      </c>
      <c r="C144" s="277" t="s">
        <v>271</v>
      </c>
      <c r="D144" s="277">
        <v>540</v>
      </c>
      <c r="E144" s="271" t="s">
        <v>106</v>
      </c>
      <c r="F144" s="294">
        <f>'приложение 4'!G71</f>
        <v>200</v>
      </c>
      <c r="G144" s="294">
        <f>'приложение 4'!H71</f>
        <v>200</v>
      </c>
      <c r="H144" s="294">
        <f>'приложение 4'!I71</f>
        <v>200</v>
      </c>
      <c r="I144" s="253">
        <f t="shared" si="26"/>
        <v>100</v>
      </c>
    </row>
    <row r="145" spans="1:9" x14ac:dyDescent="0.25">
      <c r="A145" s="277"/>
      <c r="B145" s="278"/>
      <c r="C145" s="277"/>
      <c r="D145" s="277"/>
      <c r="E145" s="271"/>
      <c r="F145" s="277"/>
      <c r="G145" s="277"/>
      <c r="H145" s="277"/>
      <c r="I145" s="254"/>
    </row>
    <row r="146" spans="1:9" x14ac:dyDescent="0.25">
      <c r="A146" s="277"/>
      <c r="B146" s="278"/>
      <c r="C146" s="277"/>
      <c r="D146" s="277"/>
      <c r="E146" s="271"/>
      <c r="F146" s="277"/>
      <c r="G146" s="277"/>
      <c r="H146" s="277"/>
      <c r="I146" s="255"/>
    </row>
    <row r="147" spans="1:9" ht="57" x14ac:dyDescent="0.25">
      <c r="A147" s="34">
        <v>113</v>
      </c>
      <c r="B147" s="91" t="s">
        <v>229</v>
      </c>
      <c r="C147" s="49" t="s">
        <v>176</v>
      </c>
      <c r="D147" s="34"/>
      <c r="E147" s="35"/>
      <c r="F147" s="51">
        <f>F148+F150+F151+F153</f>
        <v>77834.600000000006</v>
      </c>
      <c r="G147" s="51">
        <f>G148+G150+G151+G153</f>
        <v>77834.600000000006</v>
      </c>
      <c r="H147" s="51">
        <f>H148+H150+H151+H153</f>
        <v>76316.52</v>
      </c>
      <c r="I147" s="214">
        <f t="shared" si="26"/>
        <v>98.049607757989378</v>
      </c>
    </row>
    <row r="148" spans="1:9" x14ac:dyDescent="0.25">
      <c r="A148" s="34">
        <v>114</v>
      </c>
      <c r="B148" s="111" t="s">
        <v>329</v>
      </c>
      <c r="C148" s="46" t="s">
        <v>177</v>
      </c>
      <c r="D148" s="48"/>
      <c r="E148" s="49"/>
      <c r="F148" s="40">
        <f>F149</f>
        <v>860</v>
      </c>
      <c r="G148" s="40">
        <f t="shared" ref="G148:H148" si="28">G149</f>
        <v>860</v>
      </c>
      <c r="H148" s="40">
        <f t="shared" si="28"/>
        <v>0</v>
      </c>
      <c r="I148" s="214">
        <f t="shared" si="26"/>
        <v>0</v>
      </c>
    </row>
    <row r="149" spans="1:9" ht="60" x14ac:dyDescent="0.25">
      <c r="A149" s="100">
        <v>115</v>
      </c>
      <c r="B149" s="102" t="s">
        <v>474</v>
      </c>
      <c r="C149" s="83" t="str">
        <f>'приложение 4'!E111</f>
        <v>0710085010</v>
      </c>
      <c r="D149" s="100">
        <v>520</v>
      </c>
      <c r="E149" s="101" t="s">
        <v>469</v>
      </c>
      <c r="F149" s="50">
        <f>'приложение 4'!G113</f>
        <v>860</v>
      </c>
      <c r="G149" s="40">
        <f>'приложение 4'!H113</f>
        <v>860</v>
      </c>
      <c r="H149" s="40">
        <f>'приложение 4'!I113</f>
        <v>0</v>
      </c>
      <c r="I149" s="214">
        <f t="shared" si="26"/>
        <v>0</v>
      </c>
    </row>
    <row r="150" spans="1:9" ht="30" x14ac:dyDescent="0.25">
      <c r="A150" s="100">
        <v>116</v>
      </c>
      <c r="B150" s="111" t="s">
        <v>330</v>
      </c>
      <c r="C150" s="46" t="s">
        <v>249</v>
      </c>
      <c r="D150" s="48"/>
      <c r="E150" s="49"/>
      <c r="F150" s="40">
        <v>0</v>
      </c>
      <c r="G150" s="40">
        <v>0</v>
      </c>
      <c r="H150" s="40">
        <v>0</v>
      </c>
      <c r="I150" s="214">
        <v>0</v>
      </c>
    </row>
    <row r="151" spans="1:9" ht="30" x14ac:dyDescent="0.25">
      <c r="A151" s="100">
        <v>117</v>
      </c>
      <c r="B151" s="111" t="s">
        <v>140</v>
      </c>
      <c r="C151" s="46" t="s">
        <v>178</v>
      </c>
      <c r="D151" s="48"/>
      <c r="E151" s="49"/>
      <c r="F151" s="40">
        <f>F152</f>
        <v>8270</v>
      </c>
      <c r="G151" s="40">
        <f t="shared" ref="G151:H151" si="29">G152</f>
        <v>8270</v>
      </c>
      <c r="H151" s="40">
        <f t="shared" si="29"/>
        <v>7630.13</v>
      </c>
      <c r="I151" s="214">
        <f t="shared" si="26"/>
        <v>92.262756952841599</v>
      </c>
    </row>
    <row r="152" spans="1:9" ht="180" x14ac:dyDescent="0.25">
      <c r="A152" s="132">
        <v>118</v>
      </c>
      <c r="B152" s="134" t="s">
        <v>538</v>
      </c>
      <c r="C152" s="135" t="str">
        <f>'приложение 4'!E107</f>
        <v>07300S5710</v>
      </c>
      <c r="D152" s="132">
        <v>520</v>
      </c>
      <c r="E152" s="133" t="s">
        <v>469</v>
      </c>
      <c r="F152" s="50">
        <f>'приложение 4'!G107</f>
        <v>8270</v>
      </c>
      <c r="G152" s="50">
        <f>'приложение 4'!H107</f>
        <v>8270</v>
      </c>
      <c r="H152" s="50">
        <f>'приложение 4'!I107</f>
        <v>7630.13</v>
      </c>
      <c r="I152" s="214">
        <f t="shared" si="26"/>
        <v>92.262756952841599</v>
      </c>
    </row>
    <row r="153" spans="1:9" x14ac:dyDescent="0.25">
      <c r="A153" s="34">
        <v>119</v>
      </c>
      <c r="B153" s="88" t="s">
        <v>141</v>
      </c>
      <c r="C153" s="46" t="s">
        <v>186</v>
      </c>
      <c r="D153" s="48"/>
      <c r="E153" s="49"/>
      <c r="F153" s="40">
        <f>F154+F155</f>
        <v>68704.600000000006</v>
      </c>
      <c r="G153" s="40">
        <f t="shared" ref="G153" si="30">G154+G155</f>
        <v>68704.600000000006</v>
      </c>
      <c r="H153" s="40">
        <f t="shared" ref="H153" si="31">H154+H155</f>
        <v>68686.39</v>
      </c>
      <c r="I153" s="214">
        <f t="shared" si="26"/>
        <v>99.973495224482775</v>
      </c>
    </row>
    <row r="154" spans="1:9" ht="45" x14ac:dyDescent="0.25">
      <c r="A154" s="100">
        <v>120</v>
      </c>
      <c r="B154" s="67" t="s">
        <v>300</v>
      </c>
      <c r="C154" s="34" t="str">
        <f>'приложение 4'!E317</f>
        <v>0790075770</v>
      </c>
      <c r="D154" s="34">
        <v>810</v>
      </c>
      <c r="E154" s="35" t="s">
        <v>115</v>
      </c>
      <c r="F154" s="32">
        <f>'приложение 4'!G319</f>
        <v>24092.800000000003</v>
      </c>
      <c r="G154" s="32">
        <f>'приложение 4'!H319</f>
        <v>24092.799999999999</v>
      </c>
      <c r="H154" s="32">
        <f>'приложение 4'!I319</f>
        <v>24074.59</v>
      </c>
      <c r="I154" s="214">
        <f t="shared" si="26"/>
        <v>99.924417253287288</v>
      </c>
    </row>
    <row r="155" spans="1:9" ht="30" x14ac:dyDescent="0.25">
      <c r="A155" s="100">
        <v>121</v>
      </c>
      <c r="B155" s="67" t="s">
        <v>281</v>
      </c>
      <c r="C155" s="34" t="str">
        <f>'приложение 4'!E320</f>
        <v>0790075700</v>
      </c>
      <c r="D155" s="34">
        <v>810</v>
      </c>
      <c r="E155" s="35" t="s">
        <v>115</v>
      </c>
      <c r="F155" s="32">
        <f>'приложение 4'!G322</f>
        <v>44611.8</v>
      </c>
      <c r="G155" s="32">
        <f>'приложение 4'!H322</f>
        <v>44611.8</v>
      </c>
      <c r="H155" s="32">
        <f>'приложение 4'!I322</f>
        <v>44611.8</v>
      </c>
      <c r="I155" s="214">
        <f t="shared" si="26"/>
        <v>100</v>
      </c>
    </row>
    <row r="156" spans="1:9" ht="57" x14ac:dyDescent="0.25">
      <c r="A156" s="100">
        <v>122</v>
      </c>
      <c r="B156" s="84" t="s">
        <v>230</v>
      </c>
      <c r="C156" s="49" t="s">
        <v>192</v>
      </c>
      <c r="D156" s="34"/>
      <c r="E156" s="35"/>
      <c r="F156" s="51">
        <f>F157+F166</f>
        <v>5970.13</v>
      </c>
      <c r="G156" s="51">
        <f>G157+G166</f>
        <v>5970.13</v>
      </c>
      <c r="H156" s="51">
        <f>H157+H166</f>
        <v>5893.25</v>
      </c>
      <c r="I156" s="214">
        <f t="shared" si="26"/>
        <v>98.712255847025105</v>
      </c>
    </row>
    <row r="157" spans="1:9" ht="30" x14ac:dyDescent="0.25">
      <c r="A157" s="34">
        <v>123</v>
      </c>
      <c r="B157" s="85" t="s">
        <v>310</v>
      </c>
      <c r="C157" s="46" t="s">
        <v>193</v>
      </c>
      <c r="D157" s="48"/>
      <c r="E157" s="49"/>
      <c r="F157" s="40">
        <f>F158+F159+F160+F164+F163+F165+F162+F161</f>
        <v>5970.13</v>
      </c>
      <c r="G157" s="40">
        <f t="shared" ref="G157" si="32">G158+G159+G160+G164+G163+G165+G162+G161</f>
        <v>5970.13</v>
      </c>
      <c r="H157" s="40">
        <f t="shared" ref="H157" si="33">H158+H159+H160+H164+H163+H165+H162+H161</f>
        <v>5893.25</v>
      </c>
      <c r="I157" s="214">
        <f t="shared" si="26"/>
        <v>98.712255847025105</v>
      </c>
    </row>
    <row r="158" spans="1:9" ht="27.75" customHeight="1" x14ac:dyDescent="0.25">
      <c r="A158" s="277">
        <v>124</v>
      </c>
      <c r="B158" s="299" t="s">
        <v>351</v>
      </c>
      <c r="C158" s="277" t="str">
        <f>'приложение 4'!E390</f>
        <v>0810000610</v>
      </c>
      <c r="D158" s="34">
        <v>110</v>
      </c>
      <c r="E158" s="35" t="s">
        <v>102</v>
      </c>
      <c r="F158" s="32">
        <f>'приложение 4'!G391</f>
        <v>4096.05</v>
      </c>
      <c r="G158" s="32">
        <f>'приложение 4'!H391</f>
        <v>4096.05</v>
      </c>
      <c r="H158" s="32">
        <f>'приложение 4'!I391</f>
        <v>4029.13</v>
      </c>
      <c r="I158" s="214">
        <f t="shared" si="26"/>
        <v>98.36623088097069</v>
      </c>
    </row>
    <row r="159" spans="1:9" ht="35.25" customHeight="1" x14ac:dyDescent="0.25">
      <c r="A159" s="277"/>
      <c r="B159" s="299"/>
      <c r="C159" s="277"/>
      <c r="D159" s="34">
        <v>240</v>
      </c>
      <c r="E159" s="35" t="s">
        <v>102</v>
      </c>
      <c r="F159" s="32">
        <f>'приложение 4'!G393</f>
        <v>647.47</v>
      </c>
      <c r="G159" s="32">
        <f>'приложение 4'!H393</f>
        <v>647.47</v>
      </c>
      <c r="H159" s="32">
        <f>'приложение 4'!I393</f>
        <v>638.01</v>
      </c>
      <c r="I159" s="214">
        <f t="shared" si="26"/>
        <v>98.538928444561137</v>
      </c>
    </row>
    <row r="160" spans="1:9" ht="39.75" customHeight="1" x14ac:dyDescent="0.25">
      <c r="A160" s="277"/>
      <c r="B160" s="299"/>
      <c r="C160" s="277"/>
      <c r="D160" s="34">
        <v>850</v>
      </c>
      <c r="E160" s="35" t="s">
        <v>102</v>
      </c>
      <c r="F160" s="32">
        <f>'приложение 4'!G395</f>
        <v>0.5</v>
      </c>
      <c r="G160" s="32">
        <f>'приложение 4'!H395</f>
        <v>0.5</v>
      </c>
      <c r="H160" s="32">
        <f>'приложение 4'!I395</f>
        <v>0</v>
      </c>
      <c r="I160" s="214">
        <f t="shared" si="26"/>
        <v>0</v>
      </c>
    </row>
    <row r="161" spans="1:9" ht="39.75" customHeight="1" x14ac:dyDescent="0.25">
      <c r="A161" s="174">
        <v>125</v>
      </c>
      <c r="B161" s="176" t="s">
        <v>564</v>
      </c>
      <c r="C161" s="175" t="str">
        <f>'приложение 4'!E396</f>
        <v>0810010350</v>
      </c>
      <c r="D161" s="174">
        <v>110</v>
      </c>
      <c r="E161" s="175" t="s">
        <v>102</v>
      </c>
      <c r="F161" s="32">
        <f>'приложение 4'!G398</f>
        <v>20.059999999999999</v>
      </c>
      <c r="G161" s="32">
        <f>'приложение 4'!H398</f>
        <v>20.059999999999999</v>
      </c>
      <c r="H161" s="32">
        <f>'приложение 4'!I398</f>
        <v>20.059999999999999</v>
      </c>
      <c r="I161" s="214">
        <f t="shared" si="26"/>
        <v>100</v>
      </c>
    </row>
    <row r="162" spans="1:9" ht="39.75" customHeight="1" x14ac:dyDescent="0.25">
      <c r="A162" s="114">
        <v>126</v>
      </c>
      <c r="B162" s="116" t="s">
        <v>491</v>
      </c>
      <c r="C162" s="115" t="str">
        <f>'приложение 4'!E401</f>
        <v>0810010360</v>
      </c>
      <c r="D162" s="114">
        <v>110</v>
      </c>
      <c r="E162" s="115" t="s">
        <v>102</v>
      </c>
      <c r="F162" s="32">
        <f>'приложение 4'!G401</f>
        <v>147.44</v>
      </c>
      <c r="G162" s="32">
        <f>'приложение 4'!H401</f>
        <v>147.44</v>
      </c>
      <c r="H162" s="32">
        <f>'приложение 4'!I401</f>
        <v>147.44</v>
      </c>
      <c r="I162" s="214">
        <f t="shared" si="26"/>
        <v>100</v>
      </c>
    </row>
    <row r="163" spans="1:9" ht="56.25" customHeight="1" x14ac:dyDescent="0.25">
      <c r="A163" s="34">
        <v>127</v>
      </c>
      <c r="B163" s="55" t="s">
        <v>353</v>
      </c>
      <c r="C163" s="35" t="str">
        <f>'приложение 4'!E403</f>
        <v>0810010490</v>
      </c>
      <c r="D163" s="34">
        <v>110</v>
      </c>
      <c r="E163" s="35" t="s">
        <v>102</v>
      </c>
      <c r="F163" s="32">
        <f>'приложение 4'!G404</f>
        <v>95.61999999999999</v>
      </c>
      <c r="G163" s="32">
        <f>'приложение 4'!H404</f>
        <v>95.62</v>
      </c>
      <c r="H163" s="32">
        <f>'приложение 4'!I404</f>
        <v>95.62</v>
      </c>
      <c r="I163" s="214">
        <f t="shared" si="26"/>
        <v>100</v>
      </c>
    </row>
    <row r="164" spans="1:9" ht="30" x14ac:dyDescent="0.25">
      <c r="A164" s="34">
        <v>128</v>
      </c>
      <c r="B164" s="55" t="s">
        <v>302</v>
      </c>
      <c r="C164" s="35" t="s">
        <v>303</v>
      </c>
      <c r="D164" s="34">
        <v>240</v>
      </c>
      <c r="E164" s="35" t="s">
        <v>102</v>
      </c>
      <c r="F164" s="32">
        <f>'приложение 4'!G407</f>
        <v>9.5</v>
      </c>
      <c r="G164" s="32">
        <f>'приложение 4'!H407</f>
        <v>9.5</v>
      </c>
      <c r="H164" s="32">
        <f>'приложение 4'!I407</f>
        <v>9.5</v>
      </c>
      <c r="I164" s="214">
        <f t="shared" si="26"/>
        <v>100</v>
      </c>
    </row>
    <row r="165" spans="1:9" ht="30" x14ac:dyDescent="0.25">
      <c r="A165" s="34">
        <v>129</v>
      </c>
      <c r="B165" s="55" t="s">
        <v>425</v>
      </c>
      <c r="C165" s="35" t="str">
        <f>'приложение 4'!E64</f>
        <v>08100S4120</v>
      </c>
      <c r="D165" s="34">
        <v>520</v>
      </c>
      <c r="E165" s="35" t="s">
        <v>424</v>
      </c>
      <c r="F165" s="32">
        <f>'приложение 4'!G64</f>
        <v>953.49</v>
      </c>
      <c r="G165" s="32">
        <f>'приложение 4'!H64</f>
        <v>953.49</v>
      </c>
      <c r="H165" s="32">
        <f>'приложение 4'!I64</f>
        <v>953.49</v>
      </c>
      <c r="I165" s="214">
        <f t="shared" si="26"/>
        <v>100</v>
      </c>
    </row>
    <row r="166" spans="1:9" ht="30" x14ac:dyDescent="0.25">
      <c r="A166" s="34">
        <v>130</v>
      </c>
      <c r="B166" s="57" t="s">
        <v>467</v>
      </c>
      <c r="C166" s="46" t="s">
        <v>311</v>
      </c>
      <c r="D166" s="59"/>
      <c r="E166" s="46"/>
      <c r="F166" s="40">
        <v>0</v>
      </c>
      <c r="G166" s="40">
        <v>0</v>
      </c>
      <c r="H166" s="40">
        <v>0</v>
      </c>
      <c r="I166" s="214">
        <v>0</v>
      </c>
    </row>
    <row r="167" spans="1:9" ht="42.75" x14ac:dyDescent="0.25">
      <c r="A167" s="34">
        <v>131</v>
      </c>
      <c r="B167" s="84" t="s">
        <v>429</v>
      </c>
      <c r="C167" s="49" t="s">
        <v>185</v>
      </c>
      <c r="D167" s="48"/>
      <c r="E167" s="49"/>
      <c r="F167" s="51">
        <f>F168+F170</f>
        <v>1322.05</v>
      </c>
      <c r="G167" s="51">
        <f t="shared" ref="G167:H167" si="34">G168+G170</f>
        <v>1862.05</v>
      </c>
      <c r="H167" s="51">
        <f t="shared" si="34"/>
        <v>1361.9</v>
      </c>
      <c r="I167" s="214">
        <f t="shared" si="26"/>
        <v>73.139819016675176</v>
      </c>
    </row>
    <row r="168" spans="1:9" x14ac:dyDescent="0.25">
      <c r="A168" s="34">
        <v>132</v>
      </c>
      <c r="B168" s="84" t="s">
        <v>299</v>
      </c>
      <c r="C168" s="49" t="s">
        <v>430</v>
      </c>
      <c r="D168" s="48"/>
      <c r="E168" s="49"/>
      <c r="F168" s="51">
        <f>F169</f>
        <v>60</v>
      </c>
      <c r="G168" s="51">
        <f t="shared" ref="G168:H168" si="35">G169</f>
        <v>600</v>
      </c>
      <c r="H168" s="51">
        <f t="shared" si="35"/>
        <v>600</v>
      </c>
      <c r="I168" s="214">
        <f t="shared" si="26"/>
        <v>100</v>
      </c>
    </row>
    <row r="169" spans="1:9" ht="45" customHeight="1" x14ac:dyDescent="0.25">
      <c r="A169" s="34">
        <v>133</v>
      </c>
      <c r="B169" s="78" t="s">
        <v>50</v>
      </c>
      <c r="C169" s="35" t="str">
        <f>'приложение 4'!E306</f>
        <v>09100S6070</v>
      </c>
      <c r="D169" s="34">
        <v>630</v>
      </c>
      <c r="E169" s="35" t="s">
        <v>111</v>
      </c>
      <c r="F169" s="32">
        <f>'приложение 4'!G308</f>
        <v>60</v>
      </c>
      <c r="G169" s="32">
        <f>'приложение 4'!H308</f>
        <v>600</v>
      </c>
      <c r="H169" s="32">
        <f>'приложение 4'!I308</f>
        <v>600</v>
      </c>
      <c r="I169" s="214">
        <f t="shared" si="26"/>
        <v>100</v>
      </c>
    </row>
    <row r="170" spans="1:9" ht="28.5" x14ac:dyDescent="0.25">
      <c r="A170" s="34">
        <v>134</v>
      </c>
      <c r="B170" s="84" t="s">
        <v>275</v>
      </c>
      <c r="C170" s="49" t="s">
        <v>418</v>
      </c>
      <c r="D170" s="48"/>
      <c r="E170" s="49"/>
      <c r="F170" s="51">
        <f>F171+F172+F174+F173</f>
        <v>1262.05</v>
      </c>
      <c r="G170" s="51">
        <f t="shared" ref="G170" si="36">G171+G172+G174+G173</f>
        <v>1262.05</v>
      </c>
      <c r="H170" s="51">
        <f t="shared" ref="H170" si="37">H171+H172+H174+H173</f>
        <v>761.9</v>
      </c>
      <c r="I170" s="214">
        <f t="shared" si="26"/>
        <v>60.370032883007809</v>
      </c>
    </row>
    <row r="171" spans="1:9" ht="32.25" customHeight="1" x14ac:dyDescent="0.25">
      <c r="A171" s="277">
        <v>135</v>
      </c>
      <c r="B171" s="287" t="s">
        <v>43</v>
      </c>
      <c r="C171" s="271" t="str">
        <f>'приложение 4'!E257</f>
        <v>0920075170</v>
      </c>
      <c r="D171" s="34">
        <v>120</v>
      </c>
      <c r="E171" s="35" t="s">
        <v>107</v>
      </c>
      <c r="F171" s="32">
        <f>'приложение 4'!G259</f>
        <v>702.6</v>
      </c>
      <c r="G171" s="32">
        <f>'приложение 4'!H259</f>
        <v>702.6</v>
      </c>
      <c r="H171" s="32">
        <f>'приложение 4'!I259</f>
        <v>689.9</v>
      </c>
      <c r="I171" s="214">
        <f t="shared" si="26"/>
        <v>98.19242812411045</v>
      </c>
    </row>
    <row r="172" spans="1:9" ht="36.75" customHeight="1" x14ac:dyDescent="0.25">
      <c r="A172" s="277"/>
      <c r="B172" s="287"/>
      <c r="C172" s="271"/>
      <c r="D172" s="34">
        <v>240</v>
      </c>
      <c r="E172" s="35" t="s">
        <v>107</v>
      </c>
      <c r="F172" s="32">
        <f>'приложение 4'!G261</f>
        <v>72</v>
      </c>
      <c r="G172" s="32">
        <f>'приложение 4'!H261</f>
        <v>72</v>
      </c>
      <c r="H172" s="32">
        <f>'приложение 4'!I261</f>
        <v>72</v>
      </c>
      <c r="I172" s="214">
        <f t="shared" si="26"/>
        <v>100</v>
      </c>
    </row>
    <row r="173" spans="1:9" ht="36.75" customHeight="1" x14ac:dyDescent="0.25">
      <c r="A173" s="248">
        <v>136</v>
      </c>
      <c r="B173" s="267" t="s">
        <v>52</v>
      </c>
      <c r="C173" s="250" t="str">
        <f>'приложение 4'!E331</f>
        <v>0920075180</v>
      </c>
      <c r="D173" s="122">
        <v>120</v>
      </c>
      <c r="E173" s="250" t="s">
        <v>524</v>
      </c>
      <c r="F173" s="32">
        <f>'приложение 4'!G329</f>
        <v>46.3</v>
      </c>
      <c r="G173" s="32">
        <f>'приложение 4'!H329</f>
        <v>46.3</v>
      </c>
      <c r="H173" s="32">
        <f>'приложение 4'!I329</f>
        <v>0</v>
      </c>
      <c r="I173" s="214">
        <f t="shared" si="26"/>
        <v>0</v>
      </c>
    </row>
    <row r="174" spans="1:9" ht="28.5" customHeight="1" x14ac:dyDescent="0.25">
      <c r="A174" s="249"/>
      <c r="B174" s="268"/>
      <c r="C174" s="251"/>
      <c r="D174" s="34">
        <v>240</v>
      </c>
      <c r="E174" s="251"/>
      <c r="F174" s="32">
        <f>'приложение 4'!G331</f>
        <v>441.15</v>
      </c>
      <c r="G174" s="32">
        <f>'приложение 4'!H331</f>
        <v>441.15</v>
      </c>
      <c r="H174" s="32">
        <f>'приложение 4'!I331</f>
        <v>0</v>
      </c>
      <c r="I174" s="214">
        <f t="shared" si="26"/>
        <v>0</v>
      </c>
    </row>
    <row r="175" spans="1:9" ht="28.5" x14ac:dyDescent="0.25">
      <c r="A175" s="34">
        <v>137</v>
      </c>
      <c r="B175" s="84" t="s">
        <v>231</v>
      </c>
      <c r="C175" s="48">
        <v>1000000000</v>
      </c>
      <c r="D175" s="48"/>
      <c r="E175" s="49"/>
      <c r="F175" s="51">
        <f>F176+F180+F185+F189+F192</f>
        <v>46692.776720000002</v>
      </c>
      <c r="G175" s="51">
        <f>G176+G180+G185+G189+G192</f>
        <v>46755.12</v>
      </c>
      <c r="H175" s="51">
        <f>H176+H180+H185+H189+H192</f>
        <v>44654.460000000006</v>
      </c>
      <c r="I175" s="214">
        <f t="shared" si="26"/>
        <v>95.507101682125949</v>
      </c>
    </row>
    <row r="176" spans="1:9" ht="30" x14ac:dyDescent="0.25">
      <c r="A176" s="34">
        <v>138</v>
      </c>
      <c r="B176" s="45" t="s">
        <v>331</v>
      </c>
      <c r="C176" s="59">
        <v>1010000000</v>
      </c>
      <c r="D176" s="48"/>
      <c r="E176" s="49"/>
      <c r="F176" s="40">
        <f>F177+F178+F179</f>
        <v>21345.426719999999</v>
      </c>
      <c r="G176" s="40">
        <f t="shared" ref="G176" si="38">G177+G178+G179</f>
        <v>21407.77</v>
      </c>
      <c r="H176" s="40">
        <f t="shared" ref="H176" si="39">H177+H178+H179</f>
        <v>20741</v>
      </c>
      <c r="I176" s="214">
        <f t="shared" si="26"/>
        <v>96.885383204322537</v>
      </c>
    </row>
    <row r="177" spans="1:9" ht="90" x14ac:dyDescent="0.25">
      <c r="A177" s="34">
        <v>139</v>
      </c>
      <c r="B177" s="78" t="s">
        <v>45</v>
      </c>
      <c r="C177" s="34">
        <f>'приложение 4'!E265</f>
        <v>1010023580</v>
      </c>
      <c r="D177" s="34">
        <v>810</v>
      </c>
      <c r="E177" s="35" t="s">
        <v>108</v>
      </c>
      <c r="F177" s="32">
        <f>'приложение 4'!G267</f>
        <v>17003.726719999999</v>
      </c>
      <c r="G177" s="32">
        <f>'приложение 4'!H267</f>
        <v>17003.73</v>
      </c>
      <c r="H177" s="32">
        <f>'приложение 4'!I267</f>
        <v>16336.98</v>
      </c>
      <c r="I177" s="214">
        <f t="shared" si="26"/>
        <v>96.078801533545871</v>
      </c>
    </row>
    <row r="178" spans="1:9" ht="90" x14ac:dyDescent="0.25">
      <c r="A178" s="34">
        <v>140</v>
      </c>
      <c r="B178" s="55" t="s">
        <v>276</v>
      </c>
      <c r="C178" s="34">
        <f>'приложение 4'!E270</f>
        <v>1010023590</v>
      </c>
      <c r="D178" s="34">
        <v>810</v>
      </c>
      <c r="E178" s="35" t="s">
        <v>108</v>
      </c>
      <c r="F178" s="32">
        <f>'приложение 4'!G270</f>
        <v>3890.9</v>
      </c>
      <c r="G178" s="32">
        <f>'приложение 4'!H270</f>
        <v>3890.9</v>
      </c>
      <c r="H178" s="32">
        <f>'приложение 4'!I270</f>
        <v>3890.88</v>
      </c>
      <c r="I178" s="214">
        <f t="shared" si="26"/>
        <v>99.999485980107423</v>
      </c>
    </row>
    <row r="179" spans="1:9" ht="122.25" customHeight="1" x14ac:dyDescent="0.25">
      <c r="A179" s="188">
        <v>141</v>
      </c>
      <c r="B179" s="190" t="s">
        <v>573</v>
      </c>
      <c r="C179" s="188">
        <f>'приложение 4'!E271</f>
        <v>1010074020</v>
      </c>
      <c r="D179" s="188">
        <v>810</v>
      </c>
      <c r="E179" s="189" t="s">
        <v>108</v>
      </c>
      <c r="F179" s="32">
        <f>'приложение 4'!G273</f>
        <v>450.8</v>
      </c>
      <c r="G179" s="32">
        <f>'приложение 4'!H273</f>
        <v>513.14</v>
      </c>
      <c r="H179" s="32">
        <f>'приложение 4'!I273</f>
        <v>513.14</v>
      </c>
      <c r="I179" s="214">
        <f t="shared" si="26"/>
        <v>100</v>
      </c>
    </row>
    <row r="180" spans="1:9" ht="30" x14ac:dyDescent="0.25">
      <c r="A180" s="34">
        <v>142</v>
      </c>
      <c r="B180" s="45" t="s">
        <v>142</v>
      </c>
      <c r="C180" s="59">
        <v>1020000000</v>
      </c>
      <c r="D180" s="48"/>
      <c r="E180" s="49"/>
      <c r="F180" s="40">
        <f>F184+F182+F181+F183</f>
        <v>2870.7</v>
      </c>
      <c r="G180" s="40">
        <f t="shared" ref="G180" si="40">G184+G182+G181+G183</f>
        <v>2870.7000000000003</v>
      </c>
      <c r="H180" s="40">
        <f t="shared" ref="H180" si="41">H184+H182+H181+H183</f>
        <v>1471.33</v>
      </c>
      <c r="I180" s="214">
        <f t="shared" si="26"/>
        <v>51.253352840770539</v>
      </c>
    </row>
    <row r="181" spans="1:9" ht="39" customHeight="1" x14ac:dyDescent="0.25">
      <c r="A181" s="248">
        <v>143</v>
      </c>
      <c r="B181" s="263" t="s">
        <v>510</v>
      </c>
      <c r="C181" s="265" t="str">
        <f>'приложение 4'!E75</f>
        <v>102R310601</v>
      </c>
      <c r="D181" s="122">
        <v>240</v>
      </c>
      <c r="E181" s="127" t="s">
        <v>110</v>
      </c>
      <c r="F181" s="50">
        <f>'приложение 4'!G282</f>
        <v>1177.3999999999999</v>
      </c>
      <c r="G181" s="50">
        <f>'приложение 4'!H282</f>
        <v>1177.4000000000001</v>
      </c>
      <c r="H181" s="50">
        <f>'приложение 4'!I282</f>
        <v>290.83999999999997</v>
      </c>
      <c r="I181" s="214">
        <f t="shared" si="26"/>
        <v>24.701885510446743</v>
      </c>
    </row>
    <row r="182" spans="1:9" ht="44.25" customHeight="1" x14ac:dyDescent="0.25">
      <c r="A182" s="249"/>
      <c r="B182" s="264"/>
      <c r="C182" s="266"/>
      <c r="D182" s="122">
        <v>520</v>
      </c>
      <c r="E182" s="127" t="s">
        <v>110</v>
      </c>
      <c r="F182" s="50">
        <f>'приложение 4'!G77</f>
        <v>345.4</v>
      </c>
      <c r="G182" s="50">
        <f>'приложение 4'!H77</f>
        <v>345.4</v>
      </c>
      <c r="H182" s="50">
        <f>'приложение 4'!I77</f>
        <v>345.4</v>
      </c>
      <c r="I182" s="214">
        <f t="shared" si="26"/>
        <v>100</v>
      </c>
    </row>
    <row r="183" spans="1:9" ht="68.25" customHeight="1" x14ac:dyDescent="0.25">
      <c r="A183" s="146">
        <v>144</v>
      </c>
      <c r="B183" s="178" t="s">
        <v>563</v>
      </c>
      <c r="C183" s="148" t="e">
        <f>'приложение 4'!#REF!</f>
        <v>#REF!</v>
      </c>
      <c r="D183" s="146">
        <v>244</v>
      </c>
      <c r="E183" s="147" t="s">
        <v>110</v>
      </c>
      <c r="F183" s="50">
        <f>'приложение 4'!G285</f>
        <v>900.1</v>
      </c>
      <c r="G183" s="50">
        <f>'приложение 4'!H285</f>
        <v>900.1</v>
      </c>
      <c r="H183" s="50">
        <f>'приложение 4'!I285</f>
        <v>835.09</v>
      </c>
      <c r="I183" s="214">
        <f t="shared" si="26"/>
        <v>92.777469170092203</v>
      </c>
    </row>
    <row r="184" spans="1:9" ht="30" x14ac:dyDescent="0.25">
      <c r="A184" s="34">
        <v>145</v>
      </c>
      <c r="B184" s="102" t="s">
        <v>475</v>
      </c>
      <c r="C184" s="34">
        <f>'приложение 4'!E277</f>
        <v>1020082220</v>
      </c>
      <c r="D184" s="34">
        <v>240</v>
      </c>
      <c r="E184" s="35" t="s">
        <v>110</v>
      </c>
      <c r="F184" s="32">
        <f>'приложение 4'!G277</f>
        <v>447.8</v>
      </c>
      <c r="G184" s="32">
        <f>'приложение 4'!H277</f>
        <v>447.8</v>
      </c>
      <c r="H184" s="32">
        <f>'приложение 4'!I277</f>
        <v>0</v>
      </c>
      <c r="I184" s="214">
        <f t="shared" si="26"/>
        <v>0</v>
      </c>
    </row>
    <row r="185" spans="1:9" ht="30" x14ac:dyDescent="0.25">
      <c r="A185" s="34">
        <v>146</v>
      </c>
      <c r="B185" s="45" t="s">
        <v>312</v>
      </c>
      <c r="C185" s="59">
        <v>1030000000</v>
      </c>
      <c r="D185" s="59"/>
      <c r="E185" s="46"/>
      <c r="F185" s="40">
        <f>F186+F187+F188</f>
        <v>12810</v>
      </c>
      <c r="G185" s="40">
        <f t="shared" ref="G185:H185" si="42">G186+G187+G188</f>
        <v>12810</v>
      </c>
      <c r="H185" s="40">
        <f t="shared" si="42"/>
        <v>12810</v>
      </c>
      <c r="I185" s="214">
        <f t="shared" si="26"/>
        <v>100</v>
      </c>
    </row>
    <row r="186" spans="1:9" x14ac:dyDescent="0.25">
      <c r="A186" s="277">
        <v>147</v>
      </c>
      <c r="B186" s="276" t="s">
        <v>437</v>
      </c>
      <c r="C186" s="265" t="str">
        <f>'приложение 4'!E287</f>
        <v>10300S5090</v>
      </c>
      <c r="D186" s="274">
        <v>240</v>
      </c>
      <c r="E186" s="275" t="s">
        <v>110</v>
      </c>
      <c r="F186" s="272">
        <f>'приложение 4'!G289</f>
        <v>12781.9</v>
      </c>
      <c r="G186" s="272">
        <f>'приложение 4'!H289</f>
        <v>12781.9</v>
      </c>
      <c r="H186" s="272">
        <f>'приложение 4'!I289</f>
        <v>12781.9</v>
      </c>
      <c r="I186" s="253">
        <f t="shared" si="26"/>
        <v>100</v>
      </c>
    </row>
    <row r="187" spans="1:9" x14ac:dyDescent="0.25">
      <c r="A187" s="277"/>
      <c r="B187" s="276"/>
      <c r="C187" s="266"/>
      <c r="D187" s="274"/>
      <c r="E187" s="275"/>
      <c r="F187" s="273"/>
      <c r="G187" s="273"/>
      <c r="H187" s="273"/>
      <c r="I187" s="255"/>
    </row>
    <row r="188" spans="1:9" ht="30" x14ac:dyDescent="0.25">
      <c r="A188" s="137">
        <v>148</v>
      </c>
      <c r="B188" s="140" t="s">
        <v>543</v>
      </c>
      <c r="C188" s="141">
        <f>'приложение 4'!E292</f>
        <v>1030084580</v>
      </c>
      <c r="D188" s="142">
        <v>240</v>
      </c>
      <c r="E188" s="145" t="s">
        <v>110</v>
      </c>
      <c r="F188" s="144">
        <f>'приложение 4'!G292</f>
        <v>28.1</v>
      </c>
      <c r="G188" s="144">
        <f>'приложение 4'!H292</f>
        <v>28.1</v>
      </c>
      <c r="H188" s="196">
        <f>'приложение 4'!I292</f>
        <v>28.1</v>
      </c>
      <c r="I188" s="214">
        <f t="shared" si="26"/>
        <v>100</v>
      </c>
    </row>
    <row r="189" spans="1:9" ht="30" x14ac:dyDescent="0.25">
      <c r="A189" s="34">
        <v>149</v>
      </c>
      <c r="B189" s="45" t="s">
        <v>332</v>
      </c>
      <c r="C189" s="59">
        <v>1040000000</v>
      </c>
      <c r="D189" s="59"/>
      <c r="E189" s="46"/>
      <c r="F189" s="40">
        <f>F190+F191</f>
        <v>5484</v>
      </c>
      <c r="G189" s="40">
        <f t="shared" ref="G189:H189" si="43">G190+G191</f>
        <v>5484</v>
      </c>
      <c r="H189" s="40">
        <f t="shared" si="43"/>
        <v>5450.12</v>
      </c>
      <c r="I189" s="214">
        <f t="shared" si="26"/>
        <v>99.382202771699497</v>
      </c>
    </row>
    <row r="190" spans="1:9" ht="30" customHeight="1" x14ac:dyDescent="0.25">
      <c r="A190" s="277">
        <v>150</v>
      </c>
      <c r="B190" s="276" t="s">
        <v>405</v>
      </c>
      <c r="C190" s="104" t="s">
        <v>277</v>
      </c>
      <c r="D190" s="82">
        <v>240</v>
      </c>
      <c r="E190" s="83" t="s">
        <v>110</v>
      </c>
      <c r="F190" s="50">
        <f>'приложение 4'!G296</f>
        <v>333.08</v>
      </c>
      <c r="G190" s="50">
        <f>'приложение 4'!H296</f>
        <v>333.08</v>
      </c>
      <c r="H190" s="50">
        <f>'приложение 4'!I296</f>
        <v>299.2</v>
      </c>
      <c r="I190" s="214">
        <f t="shared" si="26"/>
        <v>89.828269484808459</v>
      </c>
    </row>
    <row r="191" spans="1:9" ht="30" customHeight="1" x14ac:dyDescent="0.25">
      <c r="A191" s="277"/>
      <c r="B191" s="276"/>
      <c r="C191" s="104" t="s">
        <v>277</v>
      </c>
      <c r="D191" s="82">
        <v>540</v>
      </c>
      <c r="E191" s="83" t="s">
        <v>110</v>
      </c>
      <c r="F191" s="50">
        <f>'приложение 4'!G81</f>
        <v>5150.92</v>
      </c>
      <c r="G191" s="50">
        <f>'приложение 4'!H81</f>
        <v>5150.92</v>
      </c>
      <c r="H191" s="50">
        <f>'приложение 4'!I81</f>
        <v>5150.92</v>
      </c>
      <c r="I191" s="214">
        <f t="shared" si="26"/>
        <v>100</v>
      </c>
    </row>
    <row r="192" spans="1:9" x14ac:dyDescent="0.25">
      <c r="A192" s="34">
        <v>151</v>
      </c>
      <c r="B192" s="57" t="s">
        <v>40</v>
      </c>
      <c r="C192" s="59"/>
      <c r="D192" s="59"/>
      <c r="E192" s="46"/>
      <c r="F192" s="40">
        <f>F193</f>
        <v>4182.6499999999996</v>
      </c>
      <c r="G192" s="40">
        <f t="shared" ref="G192:H192" si="44">G193</f>
        <v>4182.6499999999996</v>
      </c>
      <c r="H192" s="40">
        <f t="shared" si="44"/>
        <v>4182.01</v>
      </c>
      <c r="I192" s="214">
        <f t="shared" si="26"/>
        <v>99.984698695802905</v>
      </c>
    </row>
    <row r="193" spans="1:9" ht="30" x14ac:dyDescent="0.25">
      <c r="A193" s="34">
        <v>152</v>
      </c>
      <c r="B193" s="60" t="s">
        <v>420</v>
      </c>
      <c r="C193" s="34" t="str">
        <f>'приложение 4'!E302</f>
        <v>109D276450</v>
      </c>
      <c r="D193" s="34">
        <v>240</v>
      </c>
      <c r="E193" s="35" t="s">
        <v>279</v>
      </c>
      <c r="F193" s="32">
        <f>'приложение 4'!G302</f>
        <v>4182.6499999999996</v>
      </c>
      <c r="G193" s="32">
        <f>'приложение 4'!H302</f>
        <v>4182.6499999999996</v>
      </c>
      <c r="H193" s="32">
        <f>'приложение 4'!I302</f>
        <v>4182.01</v>
      </c>
      <c r="I193" s="214">
        <f t="shared" si="26"/>
        <v>99.984698695802905</v>
      </c>
    </row>
    <row r="194" spans="1:9" ht="42.75" x14ac:dyDescent="0.25">
      <c r="A194" s="34">
        <v>153</v>
      </c>
      <c r="B194" s="84" t="s">
        <v>232</v>
      </c>
      <c r="C194" s="48">
        <v>1100000000</v>
      </c>
      <c r="D194" s="34"/>
      <c r="E194" s="35"/>
      <c r="F194" s="51">
        <f>F195+F198+F200+F202+F203+F205</f>
        <v>133901.34</v>
      </c>
      <c r="G194" s="51">
        <f>G195+G198+G200+G202+G203+G205</f>
        <v>133901.34</v>
      </c>
      <c r="H194" s="51">
        <f>H195+H198+H200+H202+H203+H205</f>
        <v>130294.85</v>
      </c>
      <c r="I194" s="214">
        <f t="shared" si="26"/>
        <v>97.306606491017945</v>
      </c>
    </row>
    <row r="195" spans="1:9" ht="30" x14ac:dyDescent="0.25">
      <c r="A195" s="34">
        <v>154</v>
      </c>
      <c r="B195" s="45" t="s">
        <v>143</v>
      </c>
      <c r="C195" s="59">
        <v>1110000000</v>
      </c>
      <c r="D195" s="48"/>
      <c r="E195" s="49"/>
      <c r="F195" s="40">
        <f>F196+F197</f>
        <v>126785.31999999999</v>
      </c>
      <c r="G195" s="40">
        <f>G196+G197</f>
        <v>126785.32</v>
      </c>
      <c r="H195" s="40">
        <f>H196+H197</f>
        <v>126785.32</v>
      </c>
      <c r="I195" s="214">
        <f t="shared" si="26"/>
        <v>100</v>
      </c>
    </row>
    <row r="196" spans="1:9" ht="105" x14ac:dyDescent="0.25">
      <c r="A196" s="34">
        <v>155</v>
      </c>
      <c r="B196" s="55" t="s">
        <v>410</v>
      </c>
      <c r="C196" s="82" t="str">
        <f>'приложение 4'!E86</f>
        <v>111F367483</v>
      </c>
      <c r="D196" s="34">
        <v>520</v>
      </c>
      <c r="E196" s="35" t="s">
        <v>409</v>
      </c>
      <c r="F196" s="50">
        <f>'приложение 4'!G88</f>
        <v>86830.39</v>
      </c>
      <c r="G196" s="50">
        <f>'приложение 4'!H88</f>
        <v>86830.39</v>
      </c>
      <c r="H196" s="50">
        <f>'приложение 4'!I88</f>
        <v>86830.39</v>
      </c>
      <c r="I196" s="214">
        <f t="shared" si="26"/>
        <v>100</v>
      </c>
    </row>
    <row r="197" spans="1:9" ht="75" x14ac:dyDescent="0.25">
      <c r="A197" s="34">
        <v>156</v>
      </c>
      <c r="B197" s="55" t="s">
        <v>412</v>
      </c>
      <c r="C197" s="82" t="str">
        <f>'приложение 4'!E91</f>
        <v>111F367484</v>
      </c>
      <c r="D197" s="34">
        <v>520</v>
      </c>
      <c r="E197" s="35" t="s">
        <v>409</v>
      </c>
      <c r="F197" s="50">
        <f>'приложение 4'!G91</f>
        <v>39954.929999999993</v>
      </c>
      <c r="G197" s="50">
        <f>'приложение 4'!H91</f>
        <v>39954.93</v>
      </c>
      <c r="H197" s="50">
        <f>'приложение 4'!I91</f>
        <v>39954.93</v>
      </c>
      <c r="I197" s="214">
        <f t="shared" si="26"/>
        <v>100</v>
      </c>
    </row>
    <row r="198" spans="1:9" ht="30" x14ac:dyDescent="0.25">
      <c r="A198" s="34">
        <v>157</v>
      </c>
      <c r="B198" s="45" t="s">
        <v>144</v>
      </c>
      <c r="C198" s="59">
        <v>1120000000</v>
      </c>
      <c r="D198" s="48"/>
      <c r="E198" s="49"/>
      <c r="F198" s="40">
        <f>F199</f>
        <v>2058.92</v>
      </c>
      <c r="G198" s="40">
        <f t="shared" ref="G198:H198" si="45">G199</f>
        <v>2058.92</v>
      </c>
      <c r="H198" s="40">
        <f t="shared" si="45"/>
        <v>2058.92</v>
      </c>
      <c r="I198" s="214">
        <f t="shared" si="26"/>
        <v>100</v>
      </c>
    </row>
    <row r="199" spans="1:9" ht="15.75" x14ac:dyDescent="0.25">
      <c r="A199" s="34">
        <v>158</v>
      </c>
      <c r="B199" s="78" t="s">
        <v>150</v>
      </c>
      <c r="C199" s="52" t="str">
        <f>'приложение 4'!E357</f>
        <v>11200L4970</v>
      </c>
      <c r="D199" s="34">
        <v>320</v>
      </c>
      <c r="E199" s="35" t="s">
        <v>130</v>
      </c>
      <c r="F199" s="32">
        <f>'приложение 4'!G359</f>
        <v>2058.92</v>
      </c>
      <c r="G199" s="32">
        <f>'приложение 4'!H359</f>
        <v>2058.92</v>
      </c>
      <c r="H199" s="32">
        <f>'приложение 4'!I359</f>
        <v>2058.92</v>
      </c>
      <c r="I199" s="214">
        <f t="shared" si="26"/>
        <v>100</v>
      </c>
    </row>
    <row r="200" spans="1:9" ht="45" x14ac:dyDescent="0.25">
      <c r="A200" s="34">
        <v>159</v>
      </c>
      <c r="B200" s="45" t="s">
        <v>145</v>
      </c>
      <c r="C200" s="59">
        <v>1130000000</v>
      </c>
      <c r="D200" s="48"/>
      <c r="E200" s="49"/>
      <c r="F200" s="40">
        <f>F201</f>
        <v>722</v>
      </c>
      <c r="G200" s="40">
        <f t="shared" ref="G200:H200" si="46">G201</f>
        <v>722</v>
      </c>
      <c r="H200" s="40">
        <f t="shared" si="46"/>
        <v>722</v>
      </c>
      <c r="I200" s="214">
        <f t="shared" si="26"/>
        <v>100</v>
      </c>
    </row>
    <row r="201" spans="1:9" ht="45" x14ac:dyDescent="0.25">
      <c r="A201" s="34">
        <v>160</v>
      </c>
      <c r="B201" s="55" t="s">
        <v>256</v>
      </c>
      <c r="C201" s="52" t="s">
        <v>280</v>
      </c>
      <c r="D201" s="34">
        <v>240</v>
      </c>
      <c r="E201" s="35" t="s">
        <v>111</v>
      </c>
      <c r="F201" s="32">
        <f>'приложение 4'!G312</f>
        <v>722</v>
      </c>
      <c r="G201" s="40">
        <f>'приложение 4'!H312</f>
        <v>722</v>
      </c>
      <c r="H201" s="40">
        <f>'приложение 4'!I312</f>
        <v>722</v>
      </c>
      <c r="I201" s="214">
        <f t="shared" si="26"/>
        <v>100</v>
      </c>
    </row>
    <row r="202" spans="1:9" ht="60" x14ac:dyDescent="0.25">
      <c r="A202" s="34">
        <v>161</v>
      </c>
      <c r="B202" s="111" t="s">
        <v>146</v>
      </c>
      <c r="C202" s="59">
        <v>1140000000</v>
      </c>
      <c r="D202" s="48"/>
      <c r="E202" s="49"/>
      <c r="F202" s="40">
        <v>0</v>
      </c>
      <c r="G202" s="40">
        <v>0</v>
      </c>
      <c r="H202" s="40">
        <v>0</v>
      </c>
      <c r="I202" s="214">
        <v>0</v>
      </c>
    </row>
    <row r="203" spans="1:9" ht="45" x14ac:dyDescent="0.25">
      <c r="A203" s="34">
        <v>162</v>
      </c>
      <c r="B203" s="111" t="s">
        <v>147</v>
      </c>
      <c r="C203" s="59">
        <v>1150000000</v>
      </c>
      <c r="D203" s="48"/>
      <c r="E203" s="49"/>
      <c r="F203" s="40">
        <f>F204</f>
        <v>3600</v>
      </c>
      <c r="G203" s="40">
        <f t="shared" ref="G203:H203" si="47">G204</f>
        <v>3600</v>
      </c>
      <c r="H203" s="40">
        <f t="shared" si="47"/>
        <v>0</v>
      </c>
      <c r="I203" s="214">
        <f t="shared" si="26"/>
        <v>0</v>
      </c>
    </row>
    <row r="204" spans="1:9" ht="60" x14ac:dyDescent="0.25">
      <c r="A204" s="34">
        <v>163</v>
      </c>
      <c r="B204" s="78" t="s">
        <v>61</v>
      </c>
      <c r="C204" s="34">
        <f>'приложение 4'!E363</f>
        <v>1150075870</v>
      </c>
      <c r="D204" s="34">
        <v>410</v>
      </c>
      <c r="E204" s="35" t="s">
        <v>171</v>
      </c>
      <c r="F204" s="32">
        <f>'приложение 4'!G365</f>
        <v>3600</v>
      </c>
      <c r="G204" s="32">
        <f>'приложение 4'!H365</f>
        <v>3600</v>
      </c>
      <c r="H204" s="32">
        <f>'приложение 4'!I365</f>
        <v>0</v>
      </c>
      <c r="I204" s="214">
        <f t="shared" ref="I204:I267" si="48">H204/G204*100</f>
        <v>0</v>
      </c>
    </row>
    <row r="205" spans="1:9" x14ac:dyDescent="0.25">
      <c r="A205" s="34">
        <v>164</v>
      </c>
      <c r="B205" s="44" t="s">
        <v>148</v>
      </c>
      <c r="C205" s="59"/>
      <c r="D205" s="48"/>
      <c r="E205" s="49"/>
      <c r="F205" s="40">
        <f>F206+F207</f>
        <v>735.1</v>
      </c>
      <c r="G205" s="40">
        <f t="shared" ref="G205" si="49">G206+G207</f>
        <v>735.1</v>
      </c>
      <c r="H205" s="40">
        <f t="shared" ref="H205" si="50">H206+H207</f>
        <v>728.61</v>
      </c>
      <c r="I205" s="214">
        <f t="shared" si="48"/>
        <v>99.117126921507278</v>
      </c>
    </row>
    <row r="206" spans="1:9" x14ac:dyDescent="0.25">
      <c r="A206" s="277">
        <v>165</v>
      </c>
      <c r="B206" s="278" t="s">
        <v>274</v>
      </c>
      <c r="C206" s="277">
        <f>'приложение 4'!E238</f>
        <v>1190074670</v>
      </c>
      <c r="D206" s="34">
        <v>120</v>
      </c>
      <c r="E206" s="35" t="s">
        <v>96</v>
      </c>
      <c r="F206" s="32">
        <f>'приложение 4'!G240</f>
        <v>687.32</v>
      </c>
      <c r="G206" s="32">
        <f>'приложение 4'!H240</f>
        <v>687.32</v>
      </c>
      <c r="H206" s="32">
        <f>'приложение 4'!I240</f>
        <v>680.83</v>
      </c>
      <c r="I206" s="214">
        <f t="shared" si="48"/>
        <v>99.055752778909394</v>
      </c>
    </row>
    <row r="207" spans="1:9" x14ac:dyDescent="0.25">
      <c r="A207" s="277"/>
      <c r="B207" s="278"/>
      <c r="C207" s="277"/>
      <c r="D207" s="34">
        <v>240</v>
      </c>
      <c r="E207" s="35" t="s">
        <v>96</v>
      </c>
      <c r="F207" s="32">
        <f>'приложение 4'!G242</f>
        <v>47.78</v>
      </c>
      <c r="G207" s="32">
        <f>'приложение 4'!H242</f>
        <v>47.78</v>
      </c>
      <c r="H207" s="32">
        <f>'приложение 4'!I242</f>
        <v>47.78</v>
      </c>
      <c r="I207" s="214">
        <f t="shared" si="48"/>
        <v>100</v>
      </c>
    </row>
    <row r="208" spans="1:9" ht="30" x14ac:dyDescent="0.25">
      <c r="A208" s="34">
        <v>166</v>
      </c>
      <c r="B208" s="85" t="s">
        <v>352</v>
      </c>
      <c r="C208" s="59">
        <v>8100000000</v>
      </c>
      <c r="D208" s="59"/>
      <c r="E208" s="46"/>
      <c r="F208" s="40">
        <f>F209</f>
        <v>5060.22</v>
      </c>
      <c r="G208" s="40">
        <f t="shared" ref="G208:H208" si="51">G209</f>
        <v>5060.22</v>
      </c>
      <c r="H208" s="40">
        <f t="shared" si="51"/>
        <v>4771.2869999999994</v>
      </c>
      <c r="I208" s="214">
        <f t="shared" si="48"/>
        <v>94.290109916169641</v>
      </c>
    </row>
    <row r="209" spans="1:9" x14ac:dyDescent="0.25">
      <c r="A209" s="34">
        <v>167</v>
      </c>
      <c r="B209" s="57" t="s">
        <v>291</v>
      </c>
      <c r="C209" s="59">
        <v>8110000000</v>
      </c>
      <c r="D209" s="59"/>
      <c r="E209" s="46"/>
      <c r="F209" s="40">
        <f>F210+F211+F213+F214+F215+F217+F212+F216</f>
        <v>5060.22</v>
      </c>
      <c r="G209" s="40">
        <f t="shared" ref="G209" si="52">G210+G211+G213+G214+G215+G217+G212+G216</f>
        <v>5060.22</v>
      </c>
      <c r="H209" s="40">
        <f t="shared" ref="H209" si="53">H210+H211+H213+H214+H215+H217+H212+H216</f>
        <v>4771.2869999999994</v>
      </c>
      <c r="I209" s="214">
        <f t="shared" si="48"/>
        <v>94.290109916169641</v>
      </c>
    </row>
    <row r="210" spans="1:9" ht="26.25" customHeight="1" x14ac:dyDescent="0.25">
      <c r="A210" s="248">
        <v>168</v>
      </c>
      <c r="B210" s="246" t="s">
        <v>343</v>
      </c>
      <c r="C210" s="248">
        <v>8110000210</v>
      </c>
      <c r="D210" s="82">
        <v>120</v>
      </c>
      <c r="E210" s="83" t="s">
        <v>92</v>
      </c>
      <c r="F210" s="50">
        <f>'приложение 4'!G789</f>
        <v>1093.3399999999999</v>
      </c>
      <c r="G210" s="50">
        <f>'приложение 4'!H789</f>
        <v>1093.3399999999999</v>
      </c>
      <c r="H210" s="50">
        <f>'приложение 4'!I789</f>
        <v>1036.1869999999999</v>
      </c>
      <c r="I210" s="214">
        <f t="shared" si="48"/>
        <v>94.77262333766258</v>
      </c>
    </row>
    <row r="211" spans="1:9" ht="33.75" customHeight="1" x14ac:dyDescent="0.25">
      <c r="A211" s="282"/>
      <c r="B211" s="281"/>
      <c r="C211" s="282"/>
      <c r="D211" s="82">
        <v>240</v>
      </c>
      <c r="E211" s="83" t="s">
        <v>92</v>
      </c>
      <c r="F211" s="50">
        <f>'приложение 4'!G791</f>
        <v>759.67</v>
      </c>
      <c r="G211" s="50">
        <f>'приложение 4'!H791</f>
        <v>759.67</v>
      </c>
      <c r="H211" s="50">
        <f>'приложение 4'!I791</f>
        <v>754.66499999999996</v>
      </c>
      <c r="I211" s="214">
        <f t="shared" si="48"/>
        <v>99.341161293719637</v>
      </c>
    </row>
    <row r="212" spans="1:9" ht="33.75" customHeight="1" x14ac:dyDescent="0.25">
      <c r="A212" s="249"/>
      <c r="B212" s="247"/>
      <c r="C212" s="249"/>
      <c r="D212" s="112">
        <v>850</v>
      </c>
      <c r="E212" s="113" t="s">
        <v>92</v>
      </c>
      <c r="F212" s="50">
        <f>'приложение 4'!G793</f>
        <v>3</v>
      </c>
      <c r="G212" s="50">
        <f>'приложение 4'!H793</f>
        <v>3</v>
      </c>
      <c r="H212" s="50">
        <f>'приложение 4'!I793</f>
        <v>0</v>
      </c>
      <c r="I212" s="214">
        <f t="shared" si="48"/>
        <v>0</v>
      </c>
    </row>
    <row r="213" spans="1:9" ht="60.75" customHeight="1" x14ac:dyDescent="0.25">
      <c r="A213" s="34">
        <v>169</v>
      </c>
      <c r="B213" s="78" t="s">
        <v>344</v>
      </c>
      <c r="C213" s="34">
        <f>'приложение 4'!E794</f>
        <v>8110000220</v>
      </c>
      <c r="D213" s="82">
        <v>120</v>
      </c>
      <c r="E213" s="83" t="s">
        <v>92</v>
      </c>
      <c r="F213" s="50">
        <f>'приложение 4'!G796</f>
        <v>400.04</v>
      </c>
      <c r="G213" s="50">
        <f>'приложение 4'!H796</f>
        <v>400.04</v>
      </c>
      <c r="H213" s="50">
        <f>'приложение 4'!I796</f>
        <v>397.02699999999999</v>
      </c>
      <c r="I213" s="214">
        <f t="shared" si="48"/>
        <v>99.24682531746825</v>
      </c>
    </row>
    <row r="214" spans="1:9" ht="53.25" customHeight="1" x14ac:dyDescent="0.25">
      <c r="A214" s="34">
        <v>170</v>
      </c>
      <c r="B214" s="55" t="s">
        <v>455</v>
      </c>
      <c r="C214" s="34">
        <f>'приложение 4'!E797</f>
        <v>8110000230</v>
      </c>
      <c r="D214" s="82">
        <v>120</v>
      </c>
      <c r="E214" s="83" t="s">
        <v>92</v>
      </c>
      <c r="F214" s="50">
        <f>'приложение 4'!G799</f>
        <v>380.58000000000004</v>
      </c>
      <c r="G214" s="50">
        <f>'приложение 4'!H799</f>
        <v>380.58</v>
      </c>
      <c r="H214" s="50">
        <f>'приложение 4'!I799</f>
        <v>365.87</v>
      </c>
      <c r="I214" s="214">
        <f t="shared" si="48"/>
        <v>96.134846812759477</v>
      </c>
    </row>
    <row r="215" spans="1:9" x14ac:dyDescent="0.25">
      <c r="A215" s="34">
        <v>171</v>
      </c>
      <c r="B215" s="78" t="s">
        <v>341</v>
      </c>
      <c r="C215" s="34">
        <v>8110000240</v>
      </c>
      <c r="D215" s="82">
        <v>120</v>
      </c>
      <c r="E215" s="83" t="s">
        <v>92</v>
      </c>
      <c r="F215" s="50">
        <f>'приложение 4'!G802</f>
        <v>1883.24</v>
      </c>
      <c r="G215" s="50">
        <f>'приложение 4'!H802</f>
        <v>1883.24</v>
      </c>
      <c r="H215" s="50">
        <f>'приложение 4'!I802</f>
        <v>1677.1880000000001</v>
      </c>
      <c r="I215" s="214">
        <f t="shared" si="48"/>
        <v>89.058643614196825</v>
      </c>
    </row>
    <row r="216" spans="1:9" ht="45" x14ac:dyDescent="0.25">
      <c r="A216" s="182">
        <v>172</v>
      </c>
      <c r="B216" s="185" t="s">
        <v>557</v>
      </c>
      <c r="C216" s="182">
        <f>'приложение 4'!E803</f>
        <v>8110010350</v>
      </c>
      <c r="D216" s="180">
        <v>120</v>
      </c>
      <c r="E216" s="181" t="s">
        <v>92</v>
      </c>
      <c r="F216" s="50">
        <f>'приложение 4'!G805</f>
        <v>41.96</v>
      </c>
      <c r="G216" s="50">
        <f>'приложение 4'!H805</f>
        <v>41.96</v>
      </c>
      <c r="H216" s="50">
        <f>'приложение 4'!I805</f>
        <v>41.959000000000003</v>
      </c>
      <c r="I216" s="214">
        <f t="shared" si="48"/>
        <v>99.997616777883707</v>
      </c>
    </row>
    <row r="217" spans="1:9" ht="30" x14ac:dyDescent="0.25">
      <c r="A217" s="114">
        <v>173</v>
      </c>
      <c r="B217" s="116" t="s">
        <v>491</v>
      </c>
      <c r="C217" s="114">
        <f>'приложение 4'!E808</f>
        <v>8110010360</v>
      </c>
      <c r="D217" s="112">
        <v>120</v>
      </c>
      <c r="E217" s="113" t="s">
        <v>92</v>
      </c>
      <c r="F217" s="50">
        <f>'приложение 4'!G808</f>
        <v>498.39</v>
      </c>
      <c r="G217" s="50">
        <f>'приложение 4'!H808</f>
        <v>498.39</v>
      </c>
      <c r="H217" s="50">
        <f>'приложение 4'!I808</f>
        <v>498.39100000000002</v>
      </c>
      <c r="I217" s="214">
        <f t="shared" si="48"/>
        <v>100.0002006460804</v>
      </c>
    </row>
    <row r="218" spans="1:9" ht="28.5" x14ac:dyDescent="0.25">
      <c r="A218" s="34">
        <v>177</v>
      </c>
      <c r="B218" s="89" t="s">
        <v>317</v>
      </c>
      <c r="C218" s="48">
        <v>8200000000</v>
      </c>
      <c r="D218" s="48"/>
      <c r="E218" s="48"/>
      <c r="F218" s="90">
        <f>F219</f>
        <v>2015.91</v>
      </c>
      <c r="G218" s="90">
        <f t="shared" ref="G218:H218" si="54">G219</f>
        <v>2015.91</v>
      </c>
      <c r="H218" s="90">
        <f t="shared" si="54"/>
        <v>2011.91</v>
      </c>
      <c r="I218" s="214">
        <f t="shared" si="48"/>
        <v>99.8015784434821</v>
      </c>
    </row>
    <row r="219" spans="1:9" ht="30" x14ac:dyDescent="0.25">
      <c r="A219" s="34">
        <v>178</v>
      </c>
      <c r="B219" s="57" t="s">
        <v>290</v>
      </c>
      <c r="C219" s="59">
        <v>8210000000</v>
      </c>
      <c r="D219" s="59"/>
      <c r="E219" s="59"/>
      <c r="F219" s="80">
        <f>F220+F221+F222+F224+F223</f>
        <v>2015.91</v>
      </c>
      <c r="G219" s="184">
        <f t="shared" ref="G219:H219" si="55">G220+G221+G222+G224+G223</f>
        <v>2015.91</v>
      </c>
      <c r="H219" s="184">
        <f t="shared" si="55"/>
        <v>2011.91</v>
      </c>
      <c r="I219" s="214">
        <f t="shared" si="48"/>
        <v>99.8015784434821</v>
      </c>
    </row>
    <row r="220" spans="1:9" ht="15" customHeight="1" x14ac:dyDescent="0.25">
      <c r="A220" s="277">
        <v>179</v>
      </c>
      <c r="B220" s="283" t="s">
        <v>77</v>
      </c>
      <c r="C220" s="277">
        <v>8210000210</v>
      </c>
      <c r="D220" s="34">
        <v>120</v>
      </c>
      <c r="E220" s="35" t="s">
        <v>94</v>
      </c>
      <c r="F220" s="81">
        <f>'приложение 4'!G771</f>
        <v>1676.13</v>
      </c>
      <c r="G220" s="81">
        <f>'приложение 4'!H771</f>
        <v>1676.13</v>
      </c>
      <c r="H220" s="81">
        <f>'приложение 4'!I771</f>
        <v>1673.13</v>
      </c>
      <c r="I220" s="214">
        <f t="shared" si="48"/>
        <v>99.821016269621083</v>
      </c>
    </row>
    <row r="221" spans="1:9" x14ac:dyDescent="0.25">
      <c r="A221" s="277"/>
      <c r="B221" s="283"/>
      <c r="C221" s="277"/>
      <c r="D221" s="34">
        <v>240</v>
      </c>
      <c r="E221" s="35" t="s">
        <v>94</v>
      </c>
      <c r="F221" s="81">
        <f>'приложение 4'!G773</f>
        <v>129.21</v>
      </c>
      <c r="G221" s="81">
        <f>'приложение 4'!H773</f>
        <v>129.21</v>
      </c>
      <c r="H221" s="81">
        <f>'приложение 4'!I773</f>
        <v>129.21</v>
      </c>
      <c r="I221" s="214">
        <f t="shared" si="48"/>
        <v>100</v>
      </c>
    </row>
    <row r="222" spans="1:9" x14ac:dyDescent="0.25">
      <c r="A222" s="277"/>
      <c r="B222" s="283"/>
      <c r="C222" s="277"/>
      <c r="D222" s="34">
        <v>850</v>
      </c>
      <c r="E222" s="35" t="s">
        <v>94</v>
      </c>
      <c r="F222" s="81">
        <f>'приложение 4'!G775</f>
        <v>1</v>
      </c>
      <c r="G222" s="81">
        <f>'приложение 4'!H775</f>
        <v>1</v>
      </c>
      <c r="H222" s="81">
        <f>'приложение 4'!I775</f>
        <v>0</v>
      </c>
      <c r="I222" s="214">
        <f t="shared" si="48"/>
        <v>0</v>
      </c>
    </row>
    <row r="223" spans="1:9" ht="45" x14ac:dyDescent="0.25">
      <c r="A223" s="182">
        <v>180</v>
      </c>
      <c r="B223" s="185" t="s">
        <v>557</v>
      </c>
      <c r="C223" s="182">
        <f>'приложение 4'!E776</f>
        <v>8210010350</v>
      </c>
      <c r="D223" s="182">
        <v>120</v>
      </c>
      <c r="E223" s="179" t="s">
        <v>94</v>
      </c>
      <c r="F223" s="183">
        <f>'приложение 4'!G778</f>
        <v>17.18</v>
      </c>
      <c r="G223" s="183">
        <f>'приложение 4'!H778</f>
        <v>17.18</v>
      </c>
      <c r="H223" s="183">
        <f>'приложение 4'!I778</f>
        <v>17.18</v>
      </c>
      <c r="I223" s="214">
        <f t="shared" si="48"/>
        <v>100</v>
      </c>
    </row>
    <row r="224" spans="1:9" ht="30" x14ac:dyDescent="0.25">
      <c r="A224" s="117">
        <v>181</v>
      </c>
      <c r="B224" s="119" t="s">
        <v>491</v>
      </c>
      <c r="C224" s="117">
        <f>'приложение 4'!E779</f>
        <v>8210010360</v>
      </c>
      <c r="D224" s="117">
        <v>120</v>
      </c>
      <c r="E224" s="118" t="s">
        <v>94</v>
      </c>
      <c r="F224" s="120">
        <f>'приложение 4'!G781</f>
        <v>192.39</v>
      </c>
      <c r="G224" s="120">
        <f>'приложение 4'!H781</f>
        <v>192.39</v>
      </c>
      <c r="H224" s="120">
        <f>'приложение 4'!I781</f>
        <v>192.39</v>
      </c>
      <c r="I224" s="214">
        <f t="shared" si="48"/>
        <v>100</v>
      </c>
    </row>
    <row r="225" spans="1:9" ht="28.5" x14ac:dyDescent="0.25">
      <c r="A225" s="34">
        <v>182</v>
      </c>
      <c r="B225" s="91" t="s">
        <v>313</v>
      </c>
      <c r="C225" s="59">
        <v>8500000000</v>
      </c>
      <c r="D225" s="34"/>
      <c r="E225" s="35"/>
      <c r="F225" s="51">
        <f>F226</f>
        <v>47371.82</v>
      </c>
      <c r="G225" s="51">
        <f t="shared" ref="G225:H225" si="56">G226</f>
        <v>47371.820000000007</v>
      </c>
      <c r="H225" s="51">
        <f t="shared" si="56"/>
        <v>42616.275000000009</v>
      </c>
      <c r="I225" s="214">
        <f t="shared" si="48"/>
        <v>89.961236448166872</v>
      </c>
    </row>
    <row r="226" spans="1:9" x14ac:dyDescent="0.25">
      <c r="A226" s="34">
        <v>183</v>
      </c>
      <c r="B226" s="58" t="s">
        <v>265</v>
      </c>
      <c r="C226" s="59">
        <v>8510000000</v>
      </c>
      <c r="D226" s="59"/>
      <c r="E226" s="46"/>
      <c r="F226" s="40">
        <f>F227+F228+F229+F230+F231+F232+F236+F237+F238+F239+F241+F242+F243+F244+F245+F247+F248+F249+F250+F235+F252+F240+F253+F233+F234+F251</f>
        <v>47371.82</v>
      </c>
      <c r="G226" s="40">
        <f>G227+G228+G229+G230+G231+G232+G236+G237+G238+G239+G241+G242+G243+G244+G245+G247+G248+G249+G250+G235+G252+G240+G253+G233+G234+G251+G246</f>
        <v>47371.820000000007</v>
      </c>
      <c r="H226" s="40">
        <f>H227+H228+H229+H230+H231+H232+H236+H237+H238+H239+H241+H242+H243+H244+H245+H247+H248+H249+H250+H235+H252+H240+H253+H233+H234+H251+H246</f>
        <v>42616.275000000009</v>
      </c>
      <c r="I226" s="214">
        <f t="shared" si="48"/>
        <v>89.961236448166872</v>
      </c>
    </row>
    <row r="227" spans="1:9" ht="30" x14ac:dyDescent="0.25">
      <c r="A227" s="34">
        <v>184</v>
      </c>
      <c r="B227" s="78" t="s">
        <v>266</v>
      </c>
      <c r="C227" s="34">
        <v>8510000210</v>
      </c>
      <c r="D227" s="34">
        <v>120</v>
      </c>
      <c r="E227" s="35" t="s">
        <v>90</v>
      </c>
      <c r="F227" s="32">
        <f>'приложение 4'!G160</f>
        <v>1727.01</v>
      </c>
      <c r="G227" s="32">
        <f>'приложение 4'!H160</f>
        <v>1727.01</v>
      </c>
      <c r="H227" s="32">
        <f>'приложение 4'!I160</f>
        <v>1656.4</v>
      </c>
      <c r="I227" s="214">
        <f t="shared" si="48"/>
        <v>95.91143073867552</v>
      </c>
    </row>
    <row r="228" spans="1:9" x14ac:dyDescent="0.25">
      <c r="A228" s="248">
        <v>185</v>
      </c>
      <c r="B228" s="278" t="s">
        <v>414</v>
      </c>
      <c r="C228" s="271" t="s">
        <v>269</v>
      </c>
      <c r="D228" s="34">
        <v>120</v>
      </c>
      <c r="E228" s="35" t="s">
        <v>93</v>
      </c>
      <c r="F228" s="32">
        <f>'приложение 4'!G172</f>
        <v>16931.289999999997</v>
      </c>
      <c r="G228" s="32">
        <f>'приложение 4'!H172</f>
        <v>16931.29</v>
      </c>
      <c r="H228" s="32">
        <f>'приложение 4'!I172</f>
        <v>16762.12</v>
      </c>
      <c r="I228" s="214">
        <f t="shared" si="48"/>
        <v>99.000843999482598</v>
      </c>
    </row>
    <row r="229" spans="1:9" x14ac:dyDescent="0.25">
      <c r="A229" s="282"/>
      <c r="B229" s="278"/>
      <c r="C229" s="271"/>
      <c r="D229" s="34">
        <v>240</v>
      </c>
      <c r="E229" s="35" t="s">
        <v>93</v>
      </c>
      <c r="F229" s="32">
        <f>'приложение 4'!G174</f>
        <v>6118.0399999999991</v>
      </c>
      <c r="G229" s="32">
        <f>'приложение 4'!H174</f>
        <v>6118.04</v>
      </c>
      <c r="H229" s="32">
        <f>'приложение 4'!I174</f>
        <v>5887.5839999999998</v>
      </c>
      <c r="I229" s="214">
        <f t="shared" si="48"/>
        <v>96.233172715444809</v>
      </c>
    </row>
    <row r="230" spans="1:9" x14ac:dyDescent="0.25">
      <c r="A230" s="249"/>
      <c r="B230" s="278"/>
      <c r="C230" s="271"/>
      <c r="D230" s="34">
        <v>850</v>
      </c>
      <c r="E230" s="35" t="s">
        <v>93</v>
      </c>
      <c r="F230" s="32">
        <f>'приложение 4'!G176</f>
        <v>820.36</v>
      </c>
      <c r="G230" s="32">
        <f>'приложение 4'!H176</f>
        <v>820.36</v>
      </c>
      <c r="H230" s="32">
        <f>'приложение 4'!I176</f>
        <v>817.95</v>
      </c>
      <c r="I230" s="214">
        <f t="shared" si="48"/>
        <v>99.706226534692092</v>
      </c>
    </row>
    <row r="231" spans="1:9" ht="45" x14ac:dyDescent="0.25">
      <c r="A231" s="34">
        <v>186</v>
      </c>
      <c r="B231" s="55" t="s">
        <v>416</v>
      </c>
      <c r="C231" s="35" t="str">
        <f>'приложение 4'!E177</f>
        <v>8510000250</v>
      </c>
      <c r="D231" s="34">
        <v>120</v>
      </c>
      <c r="E231" s="35" t="s">
        <v>93</v>
      </c>
      <c r="F231" s="32">
        <f>'приложение 4'!G179</f>
        <v>3077.11</v>
      </c>
      <c r="G231" s="32">
        <f>'приложение 4'!H179</f>
        <v>3077.11</v>
      </c>
      <c r="H231" s="32">
        <f>'приложение 4'!I179</f>
        <v>3025.88</v>
      </c>
      <c r="I231" s="214">
        <f t="shared" si="48"/>
        <v>98.335126141086931</v>
      </c>
    </row>
    <row r="232" spans="1:9" ht="30" x14ac:dyDescent="0.25">
      <c r="A232" s="34">
        <v>187</v>
      </c>
      <c r="B232" s="55" t="s">
        <v>451</v>
      </c>
      <c r="C232" s="79">
        <f>'приложение 4'!E198</f>
        <v>8510000260</v>
      </c>
      <c r="D232" s="34">
        <v>880</v>
      </c>
      <c r="E232" s="35" t="s">
        <v>449</v>
      </c>
      <c r="F232" s="32">
        <f>'приложение 4'!G200</f>
        <v>1451.2</v>
      </c>
      <c r="G232" s="32">
        <f>'приложение 4'!H200</f>
        <v>1451.2</v>
      </c>
      <c r="H232" s="32">
        <f>'приложение 4'!I200</f>
        <v>1451.2</v>
      </c>
      <c r="I232" s="214">
        <f t="shared" si="48"/>
        <v>100</v>
      </c>
    </row>
    <row r="233" spans="1:9" x14ac:dyDescent="0.25">
      <c r="A233" s="248">
        <v>188</v>
      </c>
      <c r="B233" s="285" t="s">
        <v>557</v>
      </c>
      <c r="C233" s="259">
        <f>'приложение 4'!E162</f>
        <v>8510010350</v>
      </c>
      <c r="D233" s="248">
        <v>120</v>
      </c>
      <c r="E233" s="175" t="s">
        <v>90</v>
      </c>
      <c r="F233" s="32">
        <f>'приложение 4'!G163</f>
        <v>15.54</v>
      </c>
      <c r="G233" s="32">
        <f>'приложение 4'!H163</f>
        <v>15.54</v>
      </c>
      <c r="H233" s="32">
        <f>'приложение 4'!I163</f>
        <v>15.54</v>
      </c>
      <c r="I233" s="214">
        <f t="shared" si="48"/>
        <v>100</v>
      </c>
    </row>
    <row r="234" spans="1:9" x14ac:dyDescent="0.25">
      <c r="A234" s="249"/>
      <c r="B234" s="286"/>
      <c r="C234" s="261"/>
      <c r="D234" s="249"/>
      <c r="E234" s="175" t="s">
        <v>93</v>
      </c>
      <c r="F234" s="32">
        <f>'приложение 4'!G182</f>
        <v>214.33</v>
      </c>
      <c r="G234" s="32">
        <f>'приложение 4'!H182</f>
        <v>214.33</v>
      </c>
      <c r="H234" s="32">
        <f>'приложение 4'!I182</f>
        <v>214.33</v>
      </c>
      <c r="I234" s="214">
        <f t="shared" si="48"/>
        <v>100</v>
      </c>
    </row>
    <row r="235" spans="1:9" x14ac:dyDescent="0.25">
      <c r="A235" s="248">
        <v>189</v>
      </c>
      <c r="B235" s="269" t="s">
        <v>491</v>
      </c>
      <c r="C235" s="250" t="str">
        <f>'приложение 4'!E185</f>
        <v>8510010360</v>
      </c>
      <c r="D235" s="248">
        <v>120</v>
      </c>
      <c r="E235" s="127" t="s">
        <v>90</v>
      </c>
      <c r="F235" s="32">
        <f>'приложение 4'!G166</f>
        <v>201.51</v>
      </c>
      <c r="G235" s="32">
        <f>'приложение 4'!H166</f>
        <v>201.51</v>
      </c>
      <c r="H235" s="32">
        <f>'приложение 4'!I166</f>
        <v>201.51</v>
      </c>
      <c r="I235" s="214">
        <f t="shared" si="48"/>
        <v>100</v>
      </c>
    </row>
    <row r="236" spans="1:9" x14ac:dyDescent="0.25">
      <c r="A236" s="249"/>
      <c r="B236" s="270"/>
      <c r="C236" s="251"/>
      <c r="D236" s="249"/>
      <c r="E236" s="127" t="s">
        <v>93</v>
      </c>
      <c r="F236" s="32">
        <f>'приложение 4'!G185</f>
        <v>1959.4199999999998</v>
      </c>
      <c r="G236" s="32">
        <f>'приложение 4'!H185</f>
        <v>1959.42</v>
      </c>
      <c r="H236" s="32">
        <f>'приложение 4'!I185</f>
        <v>1959.42</v>
      </c>
      <c r="I236" s="214">
        <f t="shared" si="48"/>
        <v>100</v>
      </c>
    </row>
    <row r="237" spans="1:9" ht="45" x14ac:dyDescent="0.25">
      <c r="A237" s="34">
        <v>190</v>
      </c>
      <c r="B237" s="55" t="s">
        <v>353</v>
      </c>
      <c r="C237" s="35" t="str">
        <f>'приложение 4'!E186</f>
        <v>8510010490</v>
      </c>
      <c r="D237" s="34">
        <v>120</v>
      </c>
      <c r="E237" s="35" t="s">
        <v>93</v>
      </c>
      <c r="F237" s="32">
        <f>'приложение 4'!G188</f>
        <v>101.6</v>
      </c>
      <c r="G237" s="32">
        <f>'приложение 4'!H188</f>
        <v>101.6</v>
      </c>
      <c r="H237" s="32">
        <f>'приложение 4'!I188</f>
        <v>101.6</v>
      </c>
      <c r="I237" s="214">
        <f t="shared" si="48"/>
        <v>100</v>
      </c>
    </row>
    <row r="238" spans="1:9" ht="60" x14ac:dyDescent="0.25">
      <c r="A238" s="34">
        <v>191</v>
      </c>
      <c r="B238" s="140" t="s">
        <v>458</v>
      </c>
      <c r="C238" s="34">
        <v>8510051200</v>
      </c>
      <c r="D238" s="34">
        <v>240</v>
      </c>
      <c r="E238" s="35" t="s">
        <v>165</v>
      </c>
      <c r="F238" s="32">
        <f>'приложение 4'!G194</f>
        <v>5</v>
      </c>
      <c r="G238" s="32">
        <f>'приложение 4'!H194</f>
        <v>5</v>
      </c>
      <c r="H238" s="32">
        <f>'приложение 4'!I194</f>
        <v>5</v>
      </c>
      <c r="I238" s="214">
        <f t="shared" si="48"/>
        <v>100</v>
      </c>
    </row>
    <row r="239" spans="1:9" x14ac:dyDescent="0.25">
      <c r="A239" s="34">
        <v>192</v>
      </c>
      <c r="B239" s="37" t="s">
        <v>35</v>
      </c>
      <c r="C239" s="34">
        <v>8510010110</v>
      </c>
      <c r="D239" s="34">
        <v>870</v>
      </c>
      <c r="E239" s="35" t="s">
        <v>95</v>
      </c>
      <c r="F239" s="32">
        <f>'приложение 4'!G206</f>
        <v>150</v>
      </c>
      <c r="G239" s="32">
        <f>'приложение 4'!H206</f>
        <v>150</v>
      </c>
      <c r="H239" s="32">
        <f>'приложение 4'!I206</f>
        <v>0</v>
      </c>
      <c r="I239" s="214">
        <f t="shared" si="48"/>
        <v>0</v>
      </c>
    </row>
    <row r="240" spans="1:9" ht="45" x14ac:dyDescent="0.25">
      <c r="A240" s="137">
        <v>193</v>
      </c>
      <c r="B240" s="140" t="s">
        <v>544</v>
      </c>
      <c r="C240" s="137">
        <f>'приложение 4'!E212</f>
        <v>8510029990</v>
      </c>
      <c r="D240" s="137">
        <v>870</v>
      </c>
      <c r="E240" s="139" t="s">
        <v>96</v>
      </c>
      <c r="F240" s="32">
        <f>'приложение 4'!G212</f>
        <v>3366.8</v>
      </c>
      <c r="G240" s="32">
        <f>'приложение 4'!H212</f>
        <v>3366.8</v>
      </c>
      <c r="H240" s="32">
        <f>'приложение 4'!I212</f>
        <v>0</v>
      </c>
      <c r="I240" s="214">
        <f t="shared" si="48"/>
        <v>0</v>
      </c>
    </row>
    <row r="241" spans="1:9" x14ac:dyDescent="0.25">
      <c r="A241" s="277">
        <v>194</v>
      </c>
      <c r="B241" s="280" t="s">
        <v>37</v>
      </c>
      <c r="C241" s="277">
        <v>8510074290</v>
      </c>
      <c r="D241" s="34">
        <v>120</v>
      </c>
      <c r="E241" s="35" t="s">
        <v>96</v>
      </c>
      <c r="F241" s="32">
        <f>'приложение 4'!G215</f>
        <v>41.239999999999995</v>
      </c>
      <c r="G241" s="32">
        <f>'приложение 4'!H215</f>
        <v>41.24</v>
      </c>
      <c r="H241" s="32">
        <f>'приложение 4'!I215</f>
        <v>21.82</v>
      </c>
      <c r="I241" s="214">
        <f t="shared" si="48"/>
        <v>52.909796314257996</v>
      </c>
    </row>
    <row r="242" spans="1:9" x14ac:dyDescent="0.25">
      <c r="A242" s="277"/>
      <c r="B242" s="280"/>
      <c r="C242" s="277"/>
      <c r="D242" s="34">
        <v>240</v>
      </c>
      <c r="E242" s="35" t="s">
        <v>96</v>
      </c>
      <c r="F242" s="32">
        <f>'приложение 4'!G217</f>
        <v>1.96</v>
      </c>
      <c r="G242" s="32">
        <f>'приложение 4'!H217</f>
        <v>1.96</v>
      </c>
      <c r="H242" s="32">
        <f>'приложение 4'!I217</f>
        <v>1.96</v>
      </c>
      <c r="I242" s="214">
        <f t="shared" si="48"/>
        <v>100</v>
      </c>
    </row>
    <row r="243" spans="1:9" x14ac:dyDescent="0.25">
      <c r="A243" s="277">
        <v>195</v>
      </c>
      <c r="B243" s="278" t="s">
        <v>31</v>
      </c>
      <c r="C243" s="277">
        <v>8510076040</v>
      </c>
      <c r="D243" s="34">
        <v>120</v>
      </c>
      <c r="E243" s="35" t="s">
        <v>96</v>
      </c>
      <c r="F243" s="32">
        <f>'приложение 4'!G220</f>
        <v>687.82</v>
      </c>
      <c r="G243" s="32">
        <f>'приложение 4'!H220</f>
        <v>687.82</v>
      </c>
      <c r="H243" s="32">
        <f>'приложение 4'!I220</f>
        <v>674.36</v>
      </c>
      <c r="I243" s="214">
        <f t="shared" si="48"/>
        <v>98.043092669593776</v>
      </c>
    </row>
    <row r="244" spans="1:9" x14ac:dyDescent="0.25">
      <c r="A244" s="277"/>
      <c r="B244" s="278"/>
      <c r="C244" s="277"/>
      <c r="D244" s="34">
        <v>240</v>
      </c>
      <c r="E244" s="35" t="s">
        <v>96</v>
      </c>
      <c r="F244" s="32">
        <f>'приложение 4'!G222</f>
        <v>57.68</v>
      </c>
      <c r="G244" s="32">
        <f>'приложение 4'!H222</f>
        <v>57.68</v>
      </c>
      <c r="H244" s="32">
        <f>'приложение 4'!I222</f>
        <v>57.68</v>
      </c>
      <c r="I244" s="214">
        <f t="shared" si="48"/>
        <v>100</v>
      </c>
    </row>
    <row r="245" spans="1:9" ht="60" customHeight="1" x14ac:dyDescent="0.25">
      <c r="A245" s="34">
        <v>196</v>
      </c>
      <c r="B245" s="246" t="s">
        <v>38</v>
      </c>
      <c r="C245" s="248">
        <v>8510092020</v>
      </c>
      <c r="D245" s="34">
        <v>830</v>
      </c>
      <c r="E245" s="250" t="s">
        <v>96</v>
      </c>
      <c r="F245" s="32">
        <f>'приложение 4'!G225</f>
        <v>8652.27</v>
      </c>
      <c r="G245" s="32">
        <f>'приложение 4'!H225</f>
        <v>950</v>
      </c>
      <c r="H245" s="32">
        <f>'приложение 4'!I225</f>
        <v>489.32</v>
      </c>
      <c r="I245" s="214">
        <f t="shared" si="48"/>
        <v>51.507368421052632</v>
      </c>
    </row>
    <row r="246" spans="1:9" ht="24" customHeight="1" x14ac:dyDescent="0.25">
      <c r="A246" s="198">
        <v>197</v>
      </c>
      <c r="B246" s="247"/>
      <c r="C246" s="249"/>
      <c r="D246" s="198">
        <v>850</v>
      </c>
      <c r="E246" s="251"/>
      <c r="F246" s="32">
        <v>0</v>
      </c>
      <c r="G246" s="32">
        <f>'приложение 4'!H226</f>
        <v>7702.27</v>
      </c>
      <c r="H246" s="32">
        <f>'приложение 4'!I226</f>
        <v>7702.27</v>
      </c>
      <c r="I246" s="214">
        <f t="shared" si="48"/>
        <v>100</v>
      </c>
    </row>
    <row r="247" spans="1:9" ht="30" customHeight="1" x14ac:dyDescent="0.25">
      <c r="A247" s="104">
        <v>198</v>
      </c>
      <c r="B247" s="105" t="s">
        <v>250</v>
      </c>
      <c r="C247" s="34" t="s">
        <v>272</v>
      </c>
      <c r="D247" s="34">
        <v>240</v>
      </c>
      <c r="E247" s="35" t="s">
        <v>96</v>
      </c>
      <c r="F247" s="32">
        <f>'приложение 4'!G229</f>
        <v>195.2</v>
      </c>
      <c r="G247" s="32">
        <f>'приложение 4'!H229</f>
        <v>195.2</v>
      </c>
      <c r="H247" s="32">
        <f>'приложение 4'!I229</f>
        <v>195.1</v>
      </c>
      <c r="I247" s="214">
        <f t="shared" si="48"/>
        <v>99.948770491803288</v>
      </c>
    </row>
    <row r="248" spans="1:9" ht="30" customHeight="1" x14ac:dyDescent="0.25">
      <c r="A248" s="277">
        <v>199</v>
      </c>
      <c r="B248" s="278" t="s">
        <v>439</v>
      </c>
      <c r="C248" s="279">
        <f>'приложение 4'!E370</f>
        <v>8510002890</v>
      </c>
      <c r="D248" s="34">
        <v>120</v>
      </c>
      <c r="E248" s="271" t="s">
        <v>131</v>
      </c>
      <c r="F248" s="32">
        <f>'приложение 4'!G371</f>
        <v>687.32</v>
      </c>
      <c r="G248" s="32">
        <f>'приложение 4'!H371</f>
        <v>687.32</v>
      </c>
      <c r="H248" s="32">
        <f>'приложение 4'!I371</f>
        <v>636.40099999999995</v>
      </c>
      <c r="I248" s="214">
        <f t="shared" si="48"/>
        <v>92.591660361985674</v>
      </c>
    </row>
    <row r="249" spans="1:9" ht="30" customHeight="1" x14ac:dyDescent="0.25">
      <c r="A249" s="277"/>
      <c r="B249" s="278"/>
      <c r="C249" s="279"/>
      <c r="D249" s="34">
        <v>240</v>
      </c>
      <c r="E249" s="271"/>
      <c r="F249" s="32">
        <f>'приложение 4'!G373</f>
        <v>124.68</v>
      </c>
      <c r="G249" s="32">
        <f>'приложение 4'!H373</f>
        <v>124.68</v>
      </c>
      <c r="H249" s="32">
        <f>'приложение 4'!I373</f>
        <v>124.68</v>
      </c>
      <c r="I249" s="214">
        <f t="shared" si="48"/>
        <v>100</v>
      </c>
    </row>
    <row r="250" spans="1:9" ht="30" customHeight="1" x14ac:dyDescent="0.25">
      <c r="A250" s="34">
        <v>200</v>
      </c>
      <c r="B250" s="103" t="s">
        <v>476</v>
      </c>
      <c r="C250" s="79">
        <f>'приложение 4'!E232</f>
        <v>8510084570</v>
      </c>
      <c r="D250" s="34">
        <v>240</v>
      </c>
      <c r="E250" s="35" t="s">
        <v>96</v>
      </c>
      <c r="F250" s="32">
        <f>'приложение 4'!G232</f>
        <v>46.67</v>
      </c>
      <c r="G250" s="32">
        <f>'приложение 4'!H232</f>
        <v>46.67</v>
      </c>
      <c r="H250" s="32">
        <f>'приложение 4'!I232</f>
        <v>46.67</v>
      </c>
      <c r="I250" s="214">
        <f t="shared" si="48"/>
        <v>100</v>
      </c>
    </row>
    <row r="251" spans="1:9" ht="30" customHeight="1" x14ac:dyDescent="0.25">
      <c r="A251" s="187">
        <v>201</v>
      </c>
      <c r="B251" s="192" t="s">
        <v>574</v>
      </c>
      <c r="C251" s="191">
        <f>'приложение 4'!E235</f>
        <v>8510084580</v>
      </c>
      <c r="D251" s="188">
        <v>240</v>
      </c>
      <c r="E251" s="189" t="s">
        <v>96</v>
      </c>
      <c r="F251" s="32">
        <f>'приложение 4'!G235</f>
        <v>145</v>
      </c>
      <c r="G251" s="32">
        <f>'приложение 4'!H235</f>
        <v>145</v>
      </c>
      <c r="H251" s="32">
        <f>'приложение 4'!I235</f>
        <v>145</v>
      </c>
      <c r="I251" s="214">
        <f t="shared" si="48"/>
        <v>100</v>
      </c>
    </row>
    <row r="252" spans="1:9" ht="30" customHeight="1" x14ac:dyDescent="0.25">
      <c r="A252" s="138">
        <v>202</v>
      </c>
      <c r="B252" s="140" t="s">
        <v>545</v>
      </c>
      <c r="C252" s="143" t="str">
        <f>'приложение 4'!E247</f>
        <v>851W058530</v>
      </c>
      <c r="D252" s="137">
        <v>240</v>
      </c>
      <c r="E252" s="139" t="s">
        <v>102</v>
      </c>
      <c r="F252" s="32">
        <f>'приложение 4'!G249</f>
        <v>170.2</v>
      </c>
      <c r="G252" s="32">
        <f>'приложение 4'!H249</f>
        <v>170.2</v>
      </c>
      <c r="H252" s="32">
        <f>'приложение 4'!I249</f>
        <v>0</v>
      </c>
      <c r="I252" s="214">
        <f t="shared" si="48"/>
        <v>0</v>
      </c>
    </row>
    <row r="253" spans="1:9" ht="30" customHeight="1" x14ac:dyDescent="0.25">
      <c r="A253" s="165">
        <v>203</v>
      </c>
      <c r="B253" s="168" t="s">
        <v>554</v>
      </c>
      <c r="C253" s="169">
        <f>'приложение 4'!E252</f>
        <v>8510000270</v>
      </c>
      <c r="D253" s="166">
        <v>240</v>
      </c>
      <c r="E253" s="167" t="s">
        <v>102</v>
      </c>
      <c r="F253" s="32">
        <f>'приложение 4'!G252</f>
        <v>422.57</v>
      </c>
      <c r="G253" s="32">
        <f>'приложение 4'!H252</f>
        <v>422.57</v>
      </c>
      <c r="H253" s="32">
        <f>'приложение 4'!I252</f>
        <v>422.48</v>
      </c>
      <c r="I253" s="214">
        <f t="shared" si="48"/>
        <v>99.978701753555626</v>
      </c>
    </row>
    <row r="254" spans="1:9" x14ac:dyDescent="0.25">
      <c r="A254" s="34">
        <v>204</v>
      </c>
      <c r="B254" s="96" t="s">
        <v>314</v>
      </c>
      <c r="C254" s="59">
        <v>9100000000</v>
      </c>
      <c r="D254" s="34"/>
      <c r="E254" s="35"/>
      <c r="F254" s="51">
        <f>F255+F258+F265</f>
        <v>69153.820000000007</v>
      </c>
      <c r="G254" s="51">
        <f>G255+G258+G265</f>
        <v>69153.820000000007</v>
      </c>
      <c r="H254" s="51">
        <f>H255+H258+H265</f>
        <v>68572.816999999995</v>
      </c>
      <c r="I254" s="214">
        <f t="shared" si="48"/>
        <v>99.159839615512183</v>
      </c>
    </row>
    <row r="255" spans="1:9" x14ac:dyDescent="0.25">
      <c r="A255" s="34">
        <v>205</v>
      </c>
      <c r="B255" s="111" t="s">
        <v>288</v>
      </c>
      <c r="C255" s="46" t="s">
        <v>316</v>
      </c>
      <c r="D255" s="59"/>
      <c r="E255" s="46"/>
      <c r="F255" s="40">
        <f>F256+F257</f>
        <v>107.63</v>
      </c>
      <c r="G255" s="40">
        <f t="shared" ref="G255:H255" si="57">G256+G257</f>
        <v>107.63</v>
      </c>
      <c r="H255" s="40">
        <f t="shared" si="57"/>
        <v>107.63199999999999</v>
      </c>
      <c r="I255" s="214">
        <f t="shared" si="48"/>
        <v>100.00185821796896</v>
      </c>
    </row>
    <row r="256" spans="1:9" ht="30" customHeight="1" x14ac:dyDescent="0.25">
      <c r="A256" s="248">
        <v>206</v>
      </c>
      <c r="B256" s="246" t="s">
        <v>315</v>
      </c>
      <c r="C256" s="248">
        <v>9120000610</v>
      </c>
      <c r="D256" s="34">
        <v>110</v>
      </c>
      <c r="E256" s="35" t="s">
        <v>96</v>
      </c>
      <c r="F256" s="32">
        <f>'приложение 4'!G469</f>
        <v>107.19</v>
      </c>
      <c r="G256" s="32">
        <f>'приложение 4'!H469</f>
        <v>107.19</v>
      </c>
      <c r="H256" s="32">
        <f>'приложение 4'!I469</f>
        <v>107.19199999999999</v>
      </c>
      <c r="I256" s="214">
        <f t="shared" si="48"/>
        <v>100.00186584569455</v>
      </c>
    </row>
    <row r="257" spans="1:9" x14ac:dyDescent="0.25">
      <c r="A257" s="249"/>
      <c r="B257" s="247"/>
      <c r="C257" s="249"/>
      <c r="D257" s="114">
        <v>850</v>
      </c>
      <c r="E257" s="115" t="s">
        <v>96</v>
      </c>
      <c r="F257" s="32">
        <f>'приложение 4'!G471</f>
        <v>0.44</v>
      </c>
      <c r="G257" s="32">
        <f>'приложение 4'!H471</f>
        <v>0.44</v>
      </c>
      <c r="H257" s="32">
        <f>'приложение 4'!I471</f>
        <v>0.44</v>
      </c>
      <c r="I257" s="214">
        <f t="shared" si="48"/>
        <v>100</v>
      </c>
    </row>
    <row r="258" spans="1:9" ht="30" x14ac:dyDescent="0.25">
      <c r="A258" s="34">
        <v>207</v>
      </c>
      <c r="B258" s="111" t="s">
        <v>294</v>
      </c>
      <c r="C258" s="59">
        <v>9150000000</v>
      </c>
      <c r="D258" s="59"/>
      <c r="E258" s="46"/>
      <c r="F258" s="40">
        <f>F259+F260+F261+F264+F262+F263</f>
        <v>12366.68</v>
      </c>
      <c r="G258" s="40">
        <f t="shared" ref="G258" si="58">G259+G260+G261+G264+G262+G263</f>
        <v>12366.68</v>
      </c>
      <c r="H258" s="40">
        <f t="shared" ref="H258" si="59">H259+H260+H261+H264+H262+H263</f>
        <v>11935.793000000001</v>
      </c>
      <c r="I258" s="214">
        <f t="shared" si="48"/>
        <v>96.515742301086476</v>
      </c>
    </row>
    <row r="259" spans="1:9" x14ac:dyDescent="0.25">
      <c r="A259" s="277">
        <v>208</v>
      </c>
      <c r="B259" s="278" t="s">
        <v>315</v>
      </c>
      <c r="C259" s="277">
        <v>9150000620</v>
      </c>
      <c r="D259" s="34">
        <v>110</v>
      </c>
      <c r="E259" s="35" t="s">
        <v>96</v>
      </c>
      <c r="F259" s="32">
        <f>'приложение 4'!G479</f>
        <v>6868.22</v>
      </c>
      <c r="G259" s="32">
        <f>'приложение 4'!H479</f>
        <v>6868.22</v>
      </c>
      <c r="H259" s="32">
        <f>'приложение 4'!I479</f>
        <v>6577.8280000000004</v>
      </c>
      <c r="I259" s="214">
        <f t="shared" si="48"/>
        <v>95.771946734379512</v>
      </c>
    </row>
    <row r="260" spans="1:9" x14ac:dyDescent="0.25">
      <c r="A260" s="277"/>
      <c r="B260" s="278"/>
      <c r="C260" s="277"/>
      <c r="D260" s="34">
        <v>240</v>
      </c>
      <c r="E260" s="35" t="s">
        <v>96</v>
      </c>
      <c r="F260" s="32">
        <f>'приложение 4'!G481</f>
        <v>4535.74</v>
      </c>
      <c r="G260" s="32">
        <f>'приложение 4'!H481</f>
        <v>4535.74</v>
      </c>
      <c r="H260" s="32">
        <f>'приложение 4'!I481</f>
        <v>4424.6549999999997</v>
      </c>
      <c r="I260" s="214">
        <f t="shared" si="48"/>
        <v>97.55089577444916</v>
      </c>
    </row>
    <row r="261" spans="1:9" x14ac:dyDescent="0.25">
      <c r="A261" s="277"/>
      <c r="B261" s="278"/>
      <c r="C261" s="277"/>
      <c r="D261" s="34">
        <v>850</v>
      </c>
      <c r="E261" s="35" t="s">
        <v>96</v>
      </c>
      <c r="F261" s="32">
        <f>'приложение 4'!G483</f>
        <v>30</v>
      </c>
      <c r="G261" s="32">
        <f>'приложение 4'!H483</f>
        <v>30</v>
      </c>
      <c r="H261" s="32">
        <f>'приложение 4'!I483</f>
        <v>0.59</v>
      </c>
      <c r="I261" s="214">
        <f t="shared" si="48"/>
        <v>1.9666666666666666</v>
      </c>
    </row>
    <row r="262" spans="1:9" x14ac:dyDescent="0.25">
      <c r="A262" s="137">
        <v>209</v>
      </c>
      <c r="B262" s="140" t="s">
        <v>541</v>
      </c>
      <c r="C262" s="137">
        <f>'приложение 4'!E486</f>
        <v>9150084580</v>
      </c>
      <c r="D262" s="137">
        <v>240</v>
      </c>
      <c r="E262" s="139" t="s">
        <v>96</v>
      </c>
      <c r="F262" s="32">
        <f>'приложение 4'!G486</f>
        <v>97.26</v>
      </c>
      <c r="G262" s="32">
        <f>'приложение 4'!H486</f>
        <v>97.26</v>
      </c>
      <c r="H262" s="32">
        <f>'приложение 4'!I486</f>
        <v>97.26</v>
      </c>
      <c r="I262" s="214">
        <f t="shared" si="48"/>
        <v>100</v>
      </c>
    </row>
    <row r="263" spans="1:9" ht="45" x14ac:dyDescent="0.25">
      <c r="A263" s="182">
        <v>210</v>
      </c>
      <c r="B263" s="185" t="s">
        <v>564</v>
      </c>
      <c r="C263" s="179" t="str">
        <f>'приложение 4'!E449</f>
        <v>9170010350</v>
      </c>
      <c r="D263" s="182">
        <v>110</v>
      </c>
      <c r="E263" s="179" t="s">
        <v>96</v>
      </c>
      <c r="F263" s="32">
        <f>'приложение 4'!G487</f>
        <v>57.2</v>
      </c>
      <c r="G263" s="32">
        <f>'приложение 4'!H487</f>
        <v>57.2</v>
      </c>
      <c r="H263" s="32">
        <f>'приложение 4'!I487</f>
        <v>57.2</v>
      </c>
      <c r="I263" s="214">
        <f t="shared" si="48"/>
        <v>100</v>
      </c>
    </row>
    <row r="264" spans="1:9" ht="30" x14ac:dyDescent="0.25">
      <c r="A264" s="114">
        <v>211</v>
      </c>
      <c r="B264" s="116" t="s">
        <v>491</v>
      </c>
      <c r="C264" s="114">
        <f>'приложение 4'!E490</f>
        <v>9150010360</v>
      </c>
      <c r="D264" s="114">
        <v>110</v>
      </c>
      <c r="E264" s="115" t="s">
        <v>96</v>
      </c>
      <c r="F264" s="32">
        <f>'приложение 4'!G492</f>
        <v>778.26</v>
      </c>
      <c r="G264" s="32">
        <f>'приложение 4'!H492</f>
        <v>778.26</v>
      </c>
      <c r="H264" s="32">
        <f>'приложение 4'!I492</f>
        <v>778.26</v>
      </c>
      <c r="I264" s="214">
        <f t="shared" si="48"/>
        <v>100</v>
      </c>
    </row>
    <row r="265" spans="1:9" ht="30" x14ac:dyDescent="0.25">
      <c r="A265" s="34">
        <v>212</v>
      </c>
      <c r="B265" s="111" t="s">
        <v>285</v>
      </c>
      <c r="C265" s="59">
        <v>9170000000</v>
      </c>
      <c r="D265" s="59"/>
      <c r="E265" s="46"/>
      <c r="F265" s="40">
        <f>F266+F267+F269+F273+F274+F272+F271+F268+F270</f>
        <v>56679.510000000009</v>
      </c>
      <c r="G265" s="40">
        <f t="shared" ref="G265" si="60">G266+G267+G269+G273+G274+G272+G271+G268+G270</f>
        <v>56679.51</v>
      </c>
      <c r="H265" s="40">
        <f t="shared" ref="H265" si="61">H266+H267+H269+H273+H274+H272+H271+H268+H270</f>
        <v>56529.392</v>
      </c>
      <c r="I265" s="214">
        <f t="shared" si="48"/>
        <v>99.735145910753289</v>
      </c>
    </row>
    <row r="266" spans="1:9" x14ac:dyDescent="0.25">
      <c r="A266" s="277">
        <v>213</v>
      </c>
      <c r="B266" s="278" t="s">
        <v>315</v>
      </c>
      <c r="C266" s="271" t="s">
        <v>287</v>
      </c>
      <c r="D266" s="34">
        <v>110</v>
      </c>
      <c r="E266" s="35" t="s">
        <v>96</v>
      </c>
      <c r="F266" s="32">
        <f>'приложение 4'!G441</f>
        <v>49140.130000000005</v>
      </c>
      <c r="G266" s="32">
        <f>'приложение 4'!H441</f>
        <v>49140.13</v>
      </c>
      <c r="H266" s="32">
        <f>'приложение 4'!I441</f>
        <v>49041.19</v>
      </c>
      <c r="I266" s="214">
        <f t="shared" si="48"/>
        <v>99.798657431309209</v>
      </c>
    </row>
    <row r="267" spans="1:9" x14ac:dyDescent="0.25">
      <c r="A267" s="277"/>
      <c r="B267" s="278"/>
      <c r="C267" s="271"/>
      <c r="D267" s="34">
        <v>240</v>
      </c>
      <c r="E267" s="35" t="s">
        <v>96</v>
      </c>
      <c r="F267" s="32">
        <f>'приложение 4'!G443</f>
        <v>2305.5700000000002</v>
      </c>
      <c r="G267" s="32">
        <f>'приложение 4'!H443</f>
        <v>2305.5700000000002</v>
      </c>
      <c r="H267" s="32">
        <f>'приложение 4'!I443</f>
        <v>2262.21</v>
      </c>
      <c r="I267" s="214">
        <f t="shared" si="48"/>
        <v>98.119337083671283</v>
      </c>
    </row>
    <row r="268" spans="1:9" x14ac:dyDescent="0.25">
      <c r="A268" s="277"/>
      <c r="B268" s="278"/>
      <c r="C268" s="271"/>
      <c r="D268" s="171">
        <v>320</v>
      </c>
      <c r="E268" s="170" t="s">
        <v>96</v>
      </c>
      <c r="F268" s="32">
        <f>'приложение 4'!G445</f>
        <v>7.96</v>
      </c>
      <c r="G268" s="32">
        <f>'приложение 4'!H445</f>
        <v>7.96</v>
      </c>
      <c r="H268" s="32">
        <f>'приложение 4'!I445</f>
        <v>7.96</v>
      </c>
      <c r="I268" s="214">
        <f t="shared" ref="I268:I288" si="62">H268/G268*100</f>
        <v>100</v>
      </c>
    </row>
    <row r="269" spans="1:9" x14ac:dyDescent="0.25">
      <c r="A269" s="277"/>
      <c r="B269" s="278"/>
      <c r="C269" s="271"/>
      <c r="D269" s="34">
        <v>850</v>
      </c>
      <c r="E269" s="35" t="s">
        <v>96</v>
      </c>
      <c r="F269" s="32">
        <f>'приложение 4'!G447</f>
        <v>13</v>
      </c>
      <c r="G269" s="32">
        <f>'приложение 4'!H447</f>
        <v>13</v>
      </c>
      <c r="H269" s="32">
        <f>'приложение 4'!I447</f>
        <v>5.19</v>
      </c>
      <c r="I269" s="214">
        <f t="shared" si="62"/>
        <v>39.923076923076927</v>
      </c>
    </row>
    <row r="270" spans="1:9" ht="45" x14ac:dyDescent="0.25">
      <c r="A270" s="182">
        <v>214</v>
      </c>
      <c r="B270" s="185" t="s">
        <v>564</v>
      </c>
      <c r="C270" s="179" t="str">
        <f>'приложение 4'!E450</f>
        <v>9170010350</v>
      </c>
      <c r="D270" s="182">
        <v>110</v>
      </c>
      <c r="E270" s="179" t="s">
        <v>96</v>
      </c>
      <c r="F270" s="32">
        <f>'приложение 4'!G450</f>
        <v>248.43</v>
      </c>
      <c r="G270" s="32">
        <f>'приложение 4'!H450</f>
        <v>248.43</v>
      </c>
      <c r="H270" s="32">
        <f>'приложение 4'!I450</f>
        <v>248.43</v>
      </c>
      <c r="I270" s="214">
        <f t="shared" si="62"/>
        <v>100</v>
      </c>
    </row>
    <row r="271" spans="1:9" ht="30" x14ac:dyDescent="0.25">
      <c r="A271" s="114">
        <v>215</v>
      </c>
      <c r="B271" s="116" t="s">
        <v>491</v>
      </c>
      <c r="C271" s="115" t="str">
        <f>'приложение 4'!E453</f>
        <v>9170010360</v>
      </c>
      <c r="D271" s="114">
        <v>110</v>
      </c>
      <c r="E271" s="115" t="s">
        <v>96</v>
      </c>
      <c r="F271" s="32">
        <f>'приложение 4'!G453</f>
        <v>1692.39</v>
      </c>
      <c r="G271" s="32">
        <f>'приложение 4'!H453</f>
        <v>1692.39</v>
      </c>
      <c r="H271" s="32">
        <f>'приложение 4'!I453</f>
        <v>1692.39</v>
      </c>
      <c r="I271" s="214">
        <f t="shared" si="62"/>
        <v>100</v>
      </c>
    </row>
    <row r="272" spans="1:9" ht="45" x14ac:dyDescent="0.25">
      <c r="A272" s="34">
        <v>216</v>
      </c>
      <c r="B272" s="55" t="s">
        <v>353</v>
      </c>
      <c r="C272" s="35" t="str">
        <f>'приложение 4'!E455</f>
        <v>9170010490</v>
      </c>
      <c r="D272" s="34">
        <v>110</v>
      </c>
      <c r="E272" s="35" t="s">
        <v>96</v>
      </c>
      <c r="F272" s="32">
        <f>'приложение 4'!G456</f>
        <v>1960.19</v>
      </c>
      <c r="G272" s="32">
        <f>'приложение 4'!H456</f>
        <v>1960.19</v>
      </c>
      <c r="H272" s="32">
        <f>'приложение 4'!I456</f>
        <v>1960.1869999999999</v>
      </c>
      <c r="I272" s="214">
        <f t="shared" si="62"/>
        <v>99.999846953611623</v>
      </c>
    </row>
    <row r="273" spans="1:9" ht="30" customHeight="1" x14ac:dyDescent="0.25">
      <c r="A273" s="277">
        <v>217</v>
      </c>
      <c r="B273" s="284" t="s">
        <v>346</v>
      </c>
      <c r="C273" s="271" t="str">
        <f>'приложение 4'!E458</f>
        <v>9170084560</v>
      </c>
      <c r="D273" s="34">
        <v>110</v>
      </c>
      <c r="E273" s="35" t="s">
        <v>96</v>
      </c>
      <c r="F273" s="32">
        <f>'приложение 4'!G459</f>
        <v>1263.83</v>
      </c>
      <c r="G273" s="32">
        <f>'приложение 4'!H459</f>
        <v>1263.83</v>
      </c>
      <c r="H273" s="32">
        <f>'приложение 4'!I459</f>
        <v>1263.829</v>
      </c>
      <c r="I273" s="214">
        <f t="shared" si="62"/>
        <v>99.999920875434199</v>
      </c>
    </row>
    <row r="274" spans="1:9" ht="19.5" customHeight="1" x14ac:dyDescent="0.25">
      <c r="A274" s="277"/>
      <c r="B274" s="284"/>
      <c r="C274" s="271"/>
      <c r="D274" s="34">
        <v>240</v>
      </c>
      <c r="E274" s="35" t="s">
        <v>96</v>
      </c>
      <c r="F274" s="32">
        <f>'приложение 4'!G461</f>
        <v>48.01</v>
      </c>
      <c r="G274" s="32">
        <f>'приложение 4'!H461</f>
        <v>48.01</v>
      </c>
      <c r="H274" s="32">
        <f>'приложение 4'!I461</f>
        <v>48.006</v>
      </c>
      <c r="I274" s="214">
        <f t="shared" si="62"/>
        <v>99.991668402416167</v>
      </c>
    </row>
    <row r="275" spans="1:9" ht="28.5" x14ac:dyDescent="0.25">
      <c r="A275" s="34">
        <v>218</v>
      </c>
      <c r="B275" s="91" t="s">
        <v>233</v>
      </c>
      <c r="C275" s="59">
        <v>9200000000</v>
      </c>
      <c r="D275" s="34"/>
      <c r="E275" s="35"/>
      <c r="F275" s="51">
        <f>F276+F284</f>
        <v>7965.2599999999993</v>
      </c>
      <c r="G275" s="51">
        <f>G276+G284</f>
        <v>7965.2599999999993</v>
      </c>
      <c r="H275" s="51">
        <f>H276+H284</f>
        <v>7950.7819999999992</v>
      </c>
      <c r="I275" s="214">
        <f t="shared" si="62"/>
        <v>99.818235688477202</v>
      </c>
    </row>
    <row r="276" spans="1:9" ht="30" x14ac:dyDescent="0.25">
      <c r="A276" s="34">
        <v>219</v>
      </c>
      <c r="B276" s="111" t="s">
        <v>270</v>
      </c>
      <c r="C276" s="59">
        <v>9210000000</v>
      </c>
      <c r="D276" s="59"/>
      <c r="E276" s="46"/>
      <c r="F276" s="40">
        <f>F277+F278+F281+F282+F283+F280+F279</f>
        <v>7662.0599999999995</v>
      </c>
      <c r="G276" s="40">
        <f t="shared" ref="G276:I276" si="63">G277+G278+G281+G282+G283+G280+G279</f>
        <v>7662.0599999999995</v>
      </c>
      <c r="H276" s="40">
        <f t="shared" si="63"/>
        <v>7647.61</v>
      </c>
      <c r="I276" s="40">
        <f t="shared" si="63"/>
        <v>653.38709677419354</v>
      </c>
    </row>
    <row r="277" spans="1:9" ht="60" x14ac:dyDescent="0.25">
      <c r="A277" s="34">
        <v>220</v>
      </c>
      <c r="B277" s="78" t="s">
        <v>456</v>
      </c>
      <c r="C277" s="34">
        <v>9210075140</v>
      </c>
      <c r="D277" s="34">
        <v>530</v>
      </c>
      <c r="E277" s="35" t="s">
        <v>96</v>
      </c>
      <c r="F277" s="32">
        <f>'приложение 4'!G47</f>
        <v>73.3</v>
      </c>
      <c r="G277" s="32">
        <f>'приложение 4'!H47</f>
        <v>73.3</v>
      </c>
      <c r="H277" s="32">
        <f>'приложение 4'!I47</f>
        <v>73.3</v>
      </c>
      <c r="I277" s="214">
        <f t="shared" si="62"/>
        <v>100</v>
      </c>
    </row>
    <row r="278" spans="1:9" ht="45" x14ac:dyDescent="0.25">
      <c r="A278" s="34">
        <v>221</v>
      </c>
      <c r="B278" s="56" t="s">
        <v>404</v>
      </c>
      <c r="C278" s="34">
        <v>9210051180</v>
      </c>
      <c r="D278" s="34">
        <v>530</v>
      </c>
      <c r="E278" s="35" t="s">
        <v>99</v>
      </c>
      <c r="F278" s="32">
        <f>'приложение 4'!G57</f>
        <v>1792.9</v>
      </c>
      <c r="G278" s="32">
        <f>'приложение 4'!H57</f>
        <v>1792.9</v>
      </c>
      <c r="H278" s="32">
        <f>'приложение 4'!I57</f>
        <v>1792.9</v>
      </c>
      <c r="I278" s="214">
        <f t="shared" si="62"/>
        <v>100</v>
      </c>
    </row>
    <row r="279" spans="1:9" ht="45" x14ac:dyDescent="0.25">
      <c r="A279" s="174">
        <v>222</v>
      </c>
      <c r="B279" s="177" t="s">
        <v>559</v>
      </c>
      <c r="C279" s="175" t="str">
        <f>'приложение 4'!E146</f>
        <v>9210010350</v>
      </c>
      <c r="D279" s="174">
        <v>520</v>
      </c>
      <c r="E279" s="175" t="s">
        <v>134</v>
      </c>
      <c r="F279" s="32">
        <f>'приложение 4'!G146</f>
        <v>321.27999999999997</v>
      </c>
      <c r="G279" s="32">
        <f>'приложение 4'!H146</f>
        <v>321.27999999999997</v>
      </c>
      <c r="H279" s="32">
        <f>'приложение 4'!I146</f>
        <v>321.27999999999997</v>
      </c>
      <c r="I279" s="214">
        <f t="shared" si="62"/>
        <v>100</v>
      </c>
    </row>
    <row r="280" spans="1:9" ht="45" x14ac:dyDescent="0.25">
      <c r="A280" s="122">
        <v>223</v>
      </c>
      <c r="B280" s="125" t="s">
        <v>518</v>
      </c>
      <c r="C280" s="127" t="str">
        <f>'приложение 4'!E149</f>
        <v>9210010360</v>
      </c>
      <c r="D280" s="122">
        <v>520</v>
      </c>
      <c r="E280" s="127" t="s">
        <v>134</v>
      </c>
      <c r="F280" s="32">
        <f>'приложение 4'!G149</f>
        <v>3645.74</v>
      </c>
      <c r="G280" s="32">
        <f>'приложение 4'!H149</f>
        <v>3645.74</v>
      </c>
      <c r="H280" s="32">
        <f>'приложение 4'!I149</f>
        <v>3645.74</v>
      </c>
      <c r="I280" s="214">
        <f t="shared" si="62"/>
        <v>100</v>
      </c>
    </row>
    <row r="281" spans="1:9" ht="45" x14ac:dyDescent="0.25">
      <c r="A281" s="34">
        <v>224</v>
      </c>
      <c r="B281" s="55" t="s">
        <v>398</v>
      </c>
      <c r="C281" s="35" t="str">
        <f>'приложение 4'!E152</f>
        <v>9210010490</v>
      </c>
      <c r="D281" s="34">
        <v>540</v>
      </c>
      <c r="E281" s="35" t="s">
        <v>134</v>
      </c>
      <c r="F281" s="32">
        <f>'приложение 4'!G152</f>
        <v>1796.8400000000001</v>
      </c>
      <c r="G281" s="32">
        <f>'приложение 4'!H152</f>
        <v>1796.84</v>
      </c>
      <c r="H281" s="32">
        <f>'приложение 4'!I152</f>
        <v>1796.84</v>
      </c>
      <c r="I281" s="214">
        <f t="shared" si="62"/>
        <v>100</v>
      </c>
    </row>
    <row r="282" spans="1:9" x14ac:dyDescent="0.25">
      <c r="A282" s="34">
        <v>225</v>
      </c>
      <c r="B282" s="55" t="s">
        <v>440</v>
      </c>
      <c r="C282" s="35" t="str">
        <f>'приложение 4'!E41</f>
        <v>9210084550</v>
      </c>
      <c r="D282" s="34">
        <v>240</v>
      </c>
      <c r="E282" s="35" t="s">
        <v>94</v>
      </c>
      <c r="F282" s="32">
        <f>'приложение 4'!G41</f>
        <v>1</v>
      </c>
      <c r="G282" s="32">
        <f>'приложение 4'!H41</f>
        <v>1</v>
      </c>
      <c r="H282" s="32">
        <f>'приложение 4'!I41</f>
        <v>1</v>
      </c>
      <c r="I282" s="214">
        <f t="shared" si="62"/>
        <v>100</v>
      </c>
    </row>
    <row r="283" spans="1:9" x14ac:dyDescent="0.25">
      <c r="A283" s="104">
        <v>226</v>
      </c>
      <c r="B283" s="109" t="s">
        <v>486</v>
      </c>
      <c r="C283" s="106">
        <f>'приложение 4'!E120</f>
        <v>9210000910</v>
      </c>
      <c r="D283" s="104">
        <v>730</v>
      </c>
      <c r="E283" s="107" t="s">
        <v>485</v>
      </c>
      <c r="F283" s="32">
        <f>'приложение 4'!G120</f>
        <v>31</v>
      </c>
      <c r="G283" s="32">
        <f>'приложение 4'!H120</f>
        <v>31</v>
      </c>
      <c r="H283" s="32">
        <f>'приложение 4'!I120</f>
        <v>16.55</v>
      </c>
      <c r="I283" s="214">
        <f t="shared" si="62"/>
        <v>53.387096774193552</v>
      </c>
    </row>
    <row r="284" spans="1:9" ht="30" x14ac:dyDescent="0.25">
      <c r="A284" s="122">
        <v>227</v>
      </c>
      <c r="B284" s="128" t="s">
        <v>526</v>
      </c>
      <c r="C284" s="126">
        <v>9220000000</v>
      </c>
      <c r="D284" s="122"/>
      <c r="E284" s="127"/>
      <c r="F284" s="40">
        <f>F285+F286+F287</f>
        <v>303.20000000000005</v>
      </c>
      <c r="G284" s="40">
        <f t="shared" ref="G284:H284" si="64">G285+G286+G287</f>
        <v>303.2</v>
      </c>
      <c r="H284" s="40">
        <f t="shared" si="64"/>
        <v>303.17200000000003</v>
      </c>
      <c r="I284" s="214">
        <f t="shared" si="62"/>
        <v>99.990765171503966</v>
      </c>
    </row>
    <row r="285" spans="1:9" x14ac:dyDescent="0.25">
      <c r="A285" s="248">
        <v>228</v>
      </c>
      <c r="B285" s="256" t="s">
        <v>528</v>
      </c>
      <c r="C285" s="259" t="str">
        <f>'приложение 4'!E763</f>
        <v>92200S4240</v>
      </c>
      <c r="D285" s="122">
        <v>240</v>
      </c>
      <c r="E285" s="250" t="s">
        <v>131</v>
      </c>
      <c r="F285" s="32">
        <f>'приложение 4'!G759</f>
        <v>222.04000000000002</v>
      </c>
      <c r="G285" s="32">
        <f>'приложение 4'!H759</f>
        <v>222.04</v>
      </c>
      <c r="H285" s="32">
        <f>'приложение 4'!I759</f>
        <v>222.01</v>
      </c>
      <c r="I285" s="214">
        <f t="shared" si="62"/>
        <v>99.98648892091515</v>
      </c>
    </row>
    <row r="286" spans="1:9" x14ac:dyDescent="0.25">
      <c r="A286" s="282"/>
      <c r="B286" s="257"/>
      <c r="C286" s="260"/>
      <c r="D286" s="122">
        <v>320</v>
      </c>
      <c r="E286" s="262"/>
      <c r="F286" s="32">
        <f>'приложение 4'!G761</f>
        <v>80.66</v>
      </c>
      <c r="G286" s="32">
        <f>'приложение 4'!H761</f>
        <v>80.66</v>
      </c>
      <c r="H286" s="32">
        <f>'приложение 4'!I761</f>
        <v>80.662000000000006</v>
      </c>
      <c r="I286" s="214">
        <f t="shared" si="62"/>
        <v>100.00247954376395</v>
      </c>
    </row>
    <row r="287" spans="1:9" x14ac:dyDescent="0.25">
      <c r="A287" s="249"/>
      <c r="B287" s="258"/>
      <c r="C287" s="261"/>
      <c r="D287" s="122">
        <v>850</v>
      </c>
      <c r="E287" s="251"/>
      <c r="F287" s="32">
        <f>'приложение 4'!G763</f>
        <v>0.5</v>
      </c>
      <c r="G287" s="32">
        <f>'приложение 4'!H763</f>
        <v>0.5</v>
      </c>
      <c r="H287" s="32">
        <f>'приложение 4'!I763</f>
        <v>0.5</v>
      </c>
      <c r="I287" s="214">
        <f t="shared" si="62"/>
        <v>100</v>
      </c>
    </row>
    <row r="288" spans="1:9" x14ac:dyDescent="0.25">
      <c r="A288" s="34">
        <v>229</v>
      </c>
      <c r="B288" s="89" t="s">
        <v>153</v>
      </c>
      <c r="C288" s="48"/>
      <c r="D288" s="48"/>
      <c r="E288" s="49"/>
      <c r="F288" s="51">
        <f>F16+F54+F100+F111+F124+F147+F156+F167+F175+F194+F11+F208+F218+F225+F254+F275</f>
        <v>1286742.1472800002</v>
      </c>
      <c r="G288" s="51">
        <f t="shared" ref="G288:H288" si="65">G16+G54+G100+G111+G124+G147+G156+G167+G175+G194+G11+G208+G218+G225+G254+G275</f>
        <v>1290747.719</v>
      </c>
      <c r="H288" s="51">
        <f t="shared" si="65"/>
        <v>1246082.2155799998</v>
      </c>
      <c r="I288" s="214">
        <f t="shared" si="62"/>
        <v>96.539563637222258</v>
      </c>
    </row>
    <row r="289" spans="1:8" x14ac:dyDescent="0.25">
      <c r="A289" s="92"/>
      <c r="B289" s="93"/>
      <c r="C289" s="94"/>
      <c r="D289" s="94"/>
      <c r="E289" s="94"/>
      <c r="F289" s="94"/>
      <c r="G289" s="94"/>
      <c r="H289" s="94"/>
    </row>
    <row r="290" spans="1:8" x14ac:dyDescent="0.25">
      <c r="A290" s="41"/>
      <c r="B290" s="42"/>
      <c r="C290" s="38"/>
      <c r="D290" s="38"/>
      <c r="E290" s="38"/>
      <c r="F290" s="43">
        <f>'приложение 4'!G809-'приложение 5'!F288</f>
        <v>0</v>
      </c>
      <c r="G290" s="43">
        <f>'приложение 4'!H809-'приложение 5'!G288</f>
        <v>0</v>
      </c>
      <c r="H290" s="43">
        <f>'приложение 4'!I809-'приложение 5'!H288</f>
        <v>0</v>
      </c>
    </row>
    <row r="291" spans="1:8" x14ac:dyDescent="0.25">
      <c r="A291" s="41"/>
      <c r="B291" s="42"/>
      <c r="C291" s="38"/>
      <c r="D291" s="38"/>
      <c r="E291" s="38"/>
      <c r="F291" s="38"/>
      <c r="G291" s="38"/>
      <c r="H291" s="38"/>
    </row>
    <row r="292" spans="1:8" x14ac:dyDescent="0.25">
      <c r="A292" s="41"/>
      <c r="B292" s="42"/>
      <c r="C292" s="38"/>
      <c r="D292" s="38"/>
      <c r="E292" s="38"/>
      <c r="F292" s="38"/>
      <c r="G292" s="38"/>
      <c r="H292" s="38"/>
    </row>
    <row r="293" spans="1:8" x14ac:dyDescent="0.25">
      <c r="A293" s="41"/>
      <c r="B293" s="42"/>
      <c r="C293" s="38"/>
      <c r="D293" s="38"/>
      <c r="E293" s="38"/>
      <c r="F293" s="38"/>
      <c r="G293" s="38"/>
      <c r="H293" s="38"/>
    </row>
    <row r="294" spans="1:8" x14ac:dyDescent="0.25">
      <c r="A294" s="41"/>
      <c r="B294" s="42"/>
      <c r="C294" s="38"/>
      <c r="D294" s="38"/>
      <c r="E294" s="38"/>
      <c r="F294" s="38"/>
      <c r="G294" s="38"/>
      <c r="H294" s="38"/>
    </row>
    <row r="295" spans="1:8" x14ac:dyDescent="0.25">
      <c r="A295" s="41"/>
      <c r="B295" s="42"/>
      <c r="C295" s="38"/>
      <c r="D295" s="38"/>
      <c r="E295" s="38"/>
      <c r="F295" s="38"/>
      <c r="G295" s="38"/>
      <c r="H295" s="38"/>
    </row>
    <row r="296" spans="1:8" x14ac:dyDescent="0.25">
      <c r="A296" s="41"/>
      <c r="B296" s="42"/>
      <c r="C296" s="38"/>
      <c r="D296" s="38"/>
      <c r="E296" s="38"/>
      <c r="F296" s="38"/>
      <c r="G296" s="38"/>
      <c r="H296" s="38"/>
    </row>
    <row r="297" spans="1:8" x14ac:dyDescent="0.25">
      <c r="A297" s="41"/>
      <c r="B297" s="42"/>
      <c r="C297" s="38"/>
      <c r="D297" s="38"/>
      <c r="E297" s="38"/>
      <c r="F297" s="38"/>
      <c r="G297" s="38"/>
      <c r="H297" s="38"/>
    </row>
    <row r="298" spans="1:8" x14ac:dyDescent="0.25">
      <c r="A298" s="41"/>
      <c r="B298" s="42"/>
      <c r="C298" s="38"/>
      <c r="D298" s="38"/>
      <c r="E298" s="38"/>
      <c r="F298" s="38"/>
      <c r="G298" s="38"/>
      <c r="H298" s="38"/>
    </row>
    <row r="299" spans="1:8" x14ac:dyDescent="0.25">
      <c r="A299" s="41"/>
      <c r="B299" s="42"/>
      <c r="C299" s="38"/>
      <c r="D299" s="38"/>
      <c r="E299" s="38"/>
      <c r="F299" s="38"/>
      <c r="G299" s="38"/>
      <c r="H299" s="38"/>
    </row>
    <row r="300" spans="1:8" x14ac:dyDescent="0.25">
      <c r="A300" s="41"/>
      <c r="B300" s="42"/>
      <c r="C300" s="38"/>
      <c r="D300" s="38"/>
      <c r="E300" s="38"/>
      <c r="F300" s="38"/>
      <c r="G300" s="38"/>
      <c r="H300" s="38"/>
    </row>
    <row r="301" spans="1:8" x14ac:dyDescent="0.25">
      <c r="A301" s="41"/>
      <c r="B301" s="42"/>
      <c r="C301" s="38"/>
      <c r="D301" s="38"/>
      <c r="E301" s="38"/>
      <c r="F301" s="38"/>
      <c r="G301" s="38"/>
      <c r="H301" s="38"/>
    </row>
    <row r="302" spans="1:8" x14ac:dyDescent="0.25">
      <c r="A302" s="41"/>
      <c r="B302" s="42"/>
      <c r="C302" s="38"/>
      <c r="D302" s="38"/>
      <c r="E302" s="38"/>
      <c r="F302" s="38"/>
      <c r="G302" s="38"/>
      <c r="H302" s="38"/>
    </row>
    <row r="303" spans="1:8" x14ac:dyDescent="0.25">
      <c r="A303" s="41"/>
      <c r="B303" s="42"/>
      <c r="C303" s="38"/>
      <c r="D303" s="38"/>
      <c r="E303" s="38"/>
      <c r="F303" s="38"/>
      <c r="G303" s="38"/>
      <c r="H303" s="38"/>
    </row>
    <row r="304" spans="1:8" x14ac:dyDescent="0.25">
      <c r="A304" s="41"/>
      <c r="B304" s="42"/>
      <c r="C304" s="38"/>
      <c r="D304" s="38"/>
      <c r="E304" s="38"/>
      <c r="F304" s="38"/>
      <c r="G304" s="38"/>
      <c r="H304" s="38"/>
    </row>
    <row r="305" spans="1:8" x14ac:dyDescent="0.25">
      <c r="A305" s="41"/>
      <c r="B305" s="42"/>
      <c r="C305" s="38"/>
      <c r="D305" s="38"/>
      <c r="E305" s="38"/>
      <c r="F305" s="38"/>
      <c r="G305" s="38"/>
      <c r="H305" s="38"/>
    </row>
    <row r="306" spans="1:8" x14ac:dyDescent="0.25">
      <c r="A306" s="41"/>
      <c r="B306" s="42"/>
      <c r="C306" s="38"/>
      <c r="D306" s="38"/>
      <c r="E306" s="38"/>
      <c r="F306" s="38"/>
      <c r="G306" s="38"/>
      <c r="H306" s="38"/>
    </row>
    <row r="307" spans="1:8" x14ac:dyDescent="0.25">
      <c r="A307" s="41"/>
      <c r="B307" s="42"/>
      <c r="C307" s="38"/>
      <c r="D307" s="38"/>
      <c r="E307" s="38"/>
      <c r="F307" s="38"/>
      <c r="G307" s="38"/>
      <c r="H307" s="38"/>
    </row>
    <row r="308" spans="1:8" x14ac:dyDescent="0.25">
      <c r="A308" s="41"/>
      <c r="B308" s="42"/>
      <c r="C308" s="38"/>
      <c r="D308" s="38"/>
      <c r="E308" s="38"/>
      <c r="F308" s="38"/>
      <c r="G308" s="38"/>
      <c r="H308" s="38"/>
    </row>
    <row r="309" spans="1:8" x14ac:dyDescent="0.25">
      <c r="A309" s="41"/>
      <c r="B309" s="42"/>
      <c r="C309" s="38"/>
      <c r="D309" s="38"/>
      <c r="E309" s="38"/>
      <c r="F309" s="38"/>
      <c r="G309" s="38"/>
      <c r="H309" s="38"/>
    </row>
    <row r="310" spans="1:8" x14ac:dyDescent="0.25">
      <c r="A310" s="41"/>
      <c r="B310" s="42"/>
      <c r="C310" s="38"/>
      <c r="D310" s="38"/>
      <c r="E310" s="38"/>
      <c r="F310" s="38"/>
      <c r="G310" s="38"/>
      <c r="H310" s="38"/>
    </row>
    <row r="311" spans="1:8" x14ac:dyDescent="0.25">
      <c r="A311" s="41"/>
      <c r="B311" s="42"/>
      <c r="C311" s="38"/>
      <c r="D311" s="38"/>
      <c r="E311" s="38"/>
      <c r="F311" s="38"/>
      <c r="G311" s="38"/>
      <c r="H311" s="38"/>
    </row>
    <row r="312" spans="1:8" x14ac:dyDescent="0.25">
      <c r="A312" s="41"/>
      <c r="B312" s="42"/>
      <c r="C312" s="38"/>
      <c r="D312" s="38"/>
      <c r="E312" s="38"/>
      <c r="F312" s="38"/>
      <c r="G312" s="38"/>
      <c r="H312" s="38"/>
    </row>
    <row r="313" spans="1:8" x14ac:dyDescent="0.25">
      <c r="A313" s="41"/>
      <c r="B313" s="42"/>
      <c r="C313" s="38"/>
      <c r="D313" s="38"/>
      <c r="E313" s="38"/>
      <c r="F313" s="38"/>
      <c r="G313" s="38"/>
      <c r="H313" s="38"/>
    </row>
    <row r="314" spans="1:8" x14ac:dyDescent="0.25">
      <c r="A314" s="41"/>
      <c r="B314" s="42"/>
      <c r="C314" s="38"/>
      <c r="D314" s="38"/>
      <c r="E314" s="38"/>
      <c r="F314" s="38"/>
      <c r="G314" s="38"/>
      <c r="H314" s="38"/>
    </row>
    <row r="315" spans="1:8" x14ac:dyDescent="0.25">
      <c r="A315" s="41"/>
      <c r="B315" s="42"/>
      <c r="C315" s="38"/>
      <c r="D315" s="38"/>
      <c r="E315" s="38"/>
      <c r="F315" s="38"/>
      <c r="G315" s="38"/>
      <c r="H315" s="38"/>
    </row>
    <row r="316" spans="1:8" x14ac:dyDescent="0.25">
      <c r="A316" s="41"/>
      <c r="B316" s="42"/>
      <c r="C316" s="38"/>
      <c r="D316" s="38"/>
      <c r="E316" s="38"/>
      <c r="F316" s="38"/>
      <c r="G316" s="38"/>
      <c r="H316" s="38"/>
    </row>
    <row r="317" spans="1:8" x14ac:dyDescent="0.25">
      <c r="A317" s="41"/>
      <c r="B317" s="42"/>
      <c r="C317" s="38"/>
      <c r="D317" s="38"/>
      <c r="E317" s="38"/>
      <c r="F317" s="38"/>
      <c r="G317" s="38"/>
      <c r="H317" s="38"/>
    </row>
    <row r="318" spans="1:8" x14ac:dyDescent="0.25">
      <c r="A318" s="41"/>
      <c r="B318" s="42"/>
      <c r="C318" s="38"/>
      <c r="D318" s="38"/>
      <c r="E318" s="38"/>
      <c r="F318" s="38"/>
      <c r="G318" s="38"/>
      <c r="H318" s="38"/>
    </row>
    <row r="319" spans="1:8" x14ac:dyDescent="0.25">
      <c r="A319" s="41"/>
      <c r="B319" s="42"/>
      <c r="C319" s="38"/>
      <c r="D319" s="38"/>
      <c r="E319" s="38"/>
      <c r="F319" s="38"/>
      <c r="G319" s="38"/>
      <c r="H319" s="38"/>
    </row>
    <row r="320" spans="1:8" x14ac:dyDescent="0.25">
      <c r="A320" s="41"/>
      <c r="B320" s="42"/>
      <c r="C320" s="38"/>
      <c r="D320" s="38"/>
      <c r="E320" s="38"/>
      <c r="F320" s="38"/>
      <c r="G320" s="38"/>
      <c r="H320" s="38"/>
    </row>
    <row r="321" spans="1:8" x14ac:dyDescent="0.25">
      <c r="A321" s="41"/>
      <c r="B321" s="42"/>
      <c r="C321" s="38"/>
      <c r="D321" s="38"/>
      <c r="E321" s="38"/>
      <c r="F321" s="38"/>
      <c r="G321" s="38"/>
      <c r="H321" s="38"/>
    </row>
    <row r="322" spans="1:8" x14ac:dyDescent="0.25">
      <c r="A322" s="41"/>
      <c r="B322" s="42"/>
      <c r="C322" s="38"/>
      <c r="D322" s="38"/>
      <c r="E322" s="38"/>
      <c r="F322" s="38"/>
      <c r="G322" s="38"/>
      <c r="H322" s="38"/>
    </row>
    <row r="323" spans="1:8" x14ac:dyDescent="0.25">
      <c r="A323" s="41"/>
      <c r="B323" s="42"/>
      <c r="C323" s="38"/>
      <c r="D323" s="38"/>
      <c r="E323" s="38"/>
      <c r="F323" s="38"/>
      <c r="G323" s="38"/>
      <c r="H323" s="38"/>
    </row>
    <row r="324" spans="1:8" x14ac:dyDescent="0.25">
      <c r="A324" s="41"/>
      <c r="B324" s="42"/>
      <c r="C324" s="38"/>
      <c r="D324" s="38"/>
      <c r="E324" s="38"/>
      <c r="F324" s="38"/>
      <c r="G324" s="38"/>
      <c r="H324" s="38"/>
    </row>
    <row r="325" spans="1:8" x14ac:dyDescent="0.25">
      <c r="A325" s="41"/>
      <c r="B325" s="42"/>
      <c r="C325" s="38"/>
      <c r="D325" s="38"/>
      <c r="E325" s="38"/>
      <c r="F325" s="38"/>
      <c r="G325" s="38"/>
      <c r="H325" s="38"/>
    </row>
    <row r="326" spans="1:8" x14ac:dyDescent="0.25">
      <c r="A326" s="41"/>
      <c r="B326" s="42"/>
      <c r="C326" s="38"/>
      <c r="D326" s="38"/>
      <c r="E326" s="38"/>
      <c r="F326" s="38"/>
      <c r="G326" s="38"/>
      <c r="H326" s="38"/>
    </row>
    <row r="327" spans="1:8" x14ac:dyDescent="0.25">
      <c r="A327" s="41"/>
      <c r="B327" s="42"/>
      <c r="C327" s="38"/>
      <c r="D327" s="38"/>
      <c r="E327" s="38"/>
      <c r="F327" s="38"/>
      <c r="G327" s="38"/>
      <c r="H327" s="38"/>
    </row>
    <row r="328" spans="1:8" x14ac:dyDescent="0.25">
      <c r="A328" s="41"/>
      <c r="B328" s="42"/>
      <c r="C328" s="38"/>
      <c r="D328" s="38"/>
      <c r="E328" s="38"/>
      <c r="F328" s="38"/>
      <c r="G328" s="38"/>
      <c r="H328" s="38"/>
    </row>
    <row r="329" spans="1:8" x14ac:dyDescent="0.25">
      <c r="A329" s="41"/>
      <c r="B329" s="42"/>
      <c r="C329" s="38"/>
      <c r="D329" s="38"/>
      <c r="E329" s="38"/>
      <c r="F329" s="38"/>
      <c r="G329" s="38"/>
      <c r="H329" s="38"/>
    </row>
    <row r="330" spans="1:8" x14ac:dyDescent="0.25">
      <c r="A330" s="41"/>
      <c r="B330" s="42"/>
      <c r="C330" s="38"/>
      <c r="D330" s="38"/>
      <c r="E330" s="38"/>
      <c r="F330" s="38"/>
      <c r="G330" s="38"/>
      <c r="H330" s="38"/>
    </row>
    <row r="331" spans="1:8" x14ac:dyDescent="0.25">
      <c r="A331" s="41"/>
      <c r="B331" s="42"/>
      <c r="C331" s="38"/>
      <c r="D331" s="38"/>
      <c r="E331" s="38"/>
      <c r="F331" s="38"/>
      <c r="G331" s="38"/>
      <c r="H331" s="38"/>
    </row>
    <row r="332" spans="1:8" x14ac:dyDescent="0.25">
      <c r="A332" s="41"/>
      <c r="B332" s="42"/>
      <c r="C332" s="38"/>
      <c r="D332" s="38"/>
      <c r="E332" s="38"/>
      <c r="F332" s="38"/>
      <c r="G332" s="38"/>
      <c r="H332" s="38"/>
    </row>
    <row r="333" spans="1:8" x14ac:dyDescent="0.25">
      <c r="A333" s="41"/>
      <c r="B333" s="42"/>
      <c r="C333" s="38"/>
      <c r="D333" s="38"/>
      <c r="E333" s="38"/>
      <c r="F333" s="38"/>
      <c r="G333" s="38"/>
      <c r="H333" s="38"/>
    </row>
    <row r="334" spans="1:8" x14ac:dyDescent="0.25">
      <c r="A334" s="41"/>
      <c r="B334" s="42"/>
      <c r="C334" s="38"/>
      <c r="D334" s="38"/>
      <c r="E334" s="38"/>
      <c r="F334" s="38"/>
      <c r="G334" s="38"/>
      <c r="H334" s="38"/>
    </row>
    <row r="335" spans="1:8" x14ac:dyDescent="0.25">
      <c r="A335" s="41"/>
      <c r="B335" s="42"/>
      <c r="C335" s="38"/>
      <c r="D335" s="38"/>
      <c r="E335" s="38"/>
      <c r="F335" s="38"/>
      <c r="G335" s="38"/>
      <c r="H335" s="38"/>
    </row>
    <row r="336" spans="1:8" x14ac:dyDescent="0.25">
      <c r="A336" s="41"/>
      <c r="B336" s="42"/>
      <c r="C336" s="38"/>
      <c r="D336" s="38"/>
      <c r="E336" s="38"/>
      <c r="F336" s="38"/>
      <c r="G336" s="38"/>
      <c r="H336" s="38"/>
    </row>
    <row r="337" spans="1:8" x14ac:dyDescent="0.25">
      <c r="A337" s="41"/>
      <c r="B337" s="42"/>
      <c r="C337" s="38"/>
      <c r="D337" s="38"/>
      <c r="E337" s="38"/>
      <c r="F337" s="38"/>
      <c r="G337" s="38"/>
      <c r="H337" s="38"/>
    </row>
    <row r="338" spans="1:8" x14ac:dyDescent="0.25">
      <c r="A338" s="41"/>
      <c r="B338" s="42"/>
      <c r="C338" s="38"/>
      <c r="D338" s="38"/>
      <c r="E338" s="38"/>
      <c r="F338" s="38"/>
      <c r="G338" s="38"/>
      <c r="H338" s="38"/>
    </row>
    <row r="339" spans="1:8" x14ac:dyDescent="0.25">
      <c r="A339" s="41"/>
      <c r="B339" s="42"/>
      <c r="C339" s="38"/>
      <c r="D339" s="38"/>
      <c r="E339" s="38"/>
      <c r="F339" s="38"/>
      <c r="G339" s="38"/>
      <c r="H339" s="38"/>
    </row>
    <row r="340" spans="1:8" x14ac:dyDescent="0.25">
      <c r="A340" s="41"/>
      <c r="B340" s="42"/>
      <c r="C340" s="38"/>
      <c r="D340" s="38"/>
      <c r="E340" s="38"/>
      <c r="F340" s="38"/>
      <c r="G340" s="38"/>
      <c r="H340" s="38"/>
    </row>
    <row r="341" spans="1:8" x14ac:dyDescent="0.25">
      <c r="A341" s="41"/>
      <c r="B341" s="42"/>
      <c r="C341" s="38"/>
      <c r="D341" s="38"/>
      <c r="E341" s="38"/>
      <c r="F341" s="38"/>
      <c r="G341" s="38"/>
      <c r="H341" s="38"/>
    </row>
    <row r="342" spans="1:8" x14ac:dyDescent="0.25">
      <c r="A342" s="41"/>
      <c r="B342" s="42"/>
      <c r="C342" s="38"/>
      <c r="D342" s="38"/>
      <c r="E342" s="38"/>
      <c r="F342" s="38"/>
      <c r="G342" s="38"/>
      <c r="H342" s="38"/>
    </row>
    <row r="343" spans="1:8" x14ac:dyDescent="0.25">
      <c r="A343" s="41"/>
      <c r="B343" s="42"/>
      <c r="C343" s="38"/>
      <c r="D343" s="38"/>
      <c r="E343" s="38"/>
      <c r="F343" s="38"/>
      <c r="G343" s="38"/>
      <c r="H343" s="38"/>
    </row>
    <row r="344" spans="1:8" x14ac:dyDescent="0.25">
      <c r="A344" s="41"/>
      <c r="B344" s="42"/>
      <c r="C344" s="38"/>
      <c r="D344" s="38"/>
      <c r="E344" s="38"/>
      <c r="F344" s="38"/>
      <c r="G344" s="38"/>
      <c r="H344" s="38"/>
    </row>
    <row r="345" spans="1:8" x14ac:dyDescent="0.25">
      <c r="A345" s="41"/>
      <c r="B345" s="42"/>
      <c r="C345" s="38"/>
      <c r="D345" s="38"/>
      <c r="E345" s="38"/>
      <c r="F345" s="38"/>
      <c r="G345" s="38"/>
      <c r="H345" s="38"/>
    </row>
    <row r="346" spans="1:8" x14ac:dyDescent="0.25">
      <c r="A346" s="41"/>
      <c r="B346" s="42"/>
      <c r="C346" s="38"/>
      <c r="D346" s="38"/>
      <c r="E346" s="38"/>
      <c r="F346" s="38"/>
      <c r="G346" s="38"/>
      <c r="H346" s="38"/>
    </row>
    <row r="347" spans="1:8" x14ac:dyDescent="0.25">
      <c r="A347" s="41"/>
      <c r="B347" s="42"/>
      <c r="C347" s="38"/>
      <c r="D347" s="38"/>
      <c r="E347" s="38"/>
      <c r="F347" s="38"/>
      <c r="G347" s="38"/>
      <c r="H347" s="38"/>
    </row>
    <row r="348" spans="1:8" x14ac:dyDescent="0.25">
      <c r="A348" s="41"/>
      <c r="B348" s="42"/>
      <c r="C348" s="38"/>
      <c r="D348" s="38"/>
      <c r="E348" s="38"/>
      <c r="F348" s="38"/>
      <c r="G348" s="38"/>
      <c r="H348" s="38"/>
    </row>
    <row r="349" spans="1:8" x14ac:dyDescent="0.25">
      <c r="A349" s="41"/>
      <c r="B349" s="42"/>
      <c r="C349" s="38"/>
      <c r="D349" s="38"/>
      <c r="E349" s="38"/>
      <c r="F349" s="38"/>
      <c r="G349" s="38"/>
      <c r="H349" s="38"/>
    </row>
    <row r="350" spans="1:8" x14ac:dyDescent="0.25">
      <c r="A350" s="41"/>
      <c r="B350" s="42"/>
      <c r="C350" s="38"/>
      <c r="D350" s="38"/>
      <c r="E350" s="38"/>
      <c r="F350" s="38"/>
      <c r="G350" s="38"/>
      <c r="H350" s="38"/>
    </row>
    <row r="351" spans="1:8" x14ac:dyDescent="0.25">
      <c r="A351" s="41"/>
      <c r="B351" s="42"/>
      <c r="C351" s="38"/>
      <c r="D351" s="38"/>
      <c r="E351" s="38"/>
      <c r="F351" s="38"/>
      <c r="G351" s="38"/>
      <c r="H351" s="38"/>
    </row>
    <row r="352" spans="1:8" x14ac:dyDescent="0.25">
      <c r="A352" s="41"/>
      <c r="B352" s="42"/>
      <c r="C352" s="38"/>
      <c r="D352" s="38"/>
      <c r="E352" s="38"/>
      <c r="F352" s="38"/>
      <c r="G352" s="38"/>
      <c r="H352" s="38"/>
    </row>
    <row r="353" spans="1:8" x14ac:dyDescent="0.25">
      <c r="A353" s="41"/>
      <c r="B353" s="42"/>
      <c r="C353" s="38"/>
      <c r="D353" s="38"/>
      <c r="E353" s="38"/>
      <c r="F353" s="38"/>
      <c r="G353" s="38"/>
      <c r="H353" s="38"/>
    </row>
    <row r="354" spans="1:8" x14ac:dyDescent="0.25">
      <c r="A354" s="41"/>
      <c r="B354" s="42"/>
      <c r="C354" s="38"/>
      <c r="D354" s="38"/>
      <c r="E354" s="38"/>
      <c r="F354" s="38"/>
      <c r="G354" s="38"/>
      <c r="H354" s="38"/>
    </row>
    <row r="355" spans="1:8" x14ac:dyDescent="0.25">
      <c r="A355" s="41"/>
      <c r="B355" s="42"/>
      <c r="C355" s="38"/>
      <c r="D355" s="38"/>
      <c r="E355" s="38"/>
      <c r="F355" s="38"/>
      <c r="G355" s="38"/>
      <c r="H355" s="38"/>
    </row>
    <row r="356" spans="1:8" x14ac:dyDescent="0.25">
      <c r="A356" s="41"/>
      <c r="B356" s="42"/>
      <c r="C356" s="38"/>
      <c r="D356" s="38"/>
      <c r="E356" s="38"/>
      <c r="F356" s="38"/>
      <c r="G356" s="38"/>
      <c r="H356" s="38"/>
    </row>
    <row r="357" spans="1:8" x14ac:dyDescent="0.25">
      <c r="A357" s="41"/>
      <c r="B357" s="42"/>
      <c r="C357" s="38"/>
      <c r="D357" s="38"/>
      <c r="E357" s="38"/>
      <c r="F357" s="38"/>
      <c r="G357" s="38"/>
      <c r="H357" s="38"/>
    </row>
    <row r="358" spans="1:8" x14ac:dyDescent="0.25">
      <c r="A358" s="41"/>
      <c r="B358" s="42"/>
      <c r="C358" s="38"/>
      <c r="D358" s="38"/>
      <c r="E358" s="38"/>
      <c r="F358" s="38"/>
      <c r="G358" s="38"/>
      <c r="H358" s="38"/>
    </row>
    <row r="359" spans="1:8" x14ac:dyDescent="0.25">
      <c r="A359" s="41"/>
      <c r="B359" s="42"/>
      <c r="C359" s="38"/>
      <c r="D359" s="38"/>
      <c r="E359" s="38"/>
      <c r="F359" s="38"/>
      <c r="G359" s="38"/>
      <c r="H359" s="38"/>
    </row>
    <row r="360" spans="1:8" x14ac:dyDescent="0.25">
      <c r="A360" s="41"/>
      <c r="B360" s="42"/>
      <c r="C360" s="38"/>
      <c r="D360" s="38"/>
      <c r="E360" s="38"/>
      <c r="F360" s="38"/>
      <c r="G360" s="38"/>
      <c r="H360" s="38"/>
    </row>
    <row r="361" spans="1:8" x14ac:dyDescent="0.25">
      <c r="A361" s="41"/>
      <c r="B361" s="42"/>
      <c r="C361" s="38"/>
      <c r="D361" s="38"/>
      <c r="E361" s="38"/>
      <c r="F361" s="38"/>
      <c r="G361" s="38"/>
      <c r="H361" s="38"/>
    </row>
    <row r="362" spans="1:8" x14ac:dyDescent="0.25">
      <c r="A362" s="41"/>
      <c r="B362" s="42"/>
      <c r="C362" s="38"/>
      <c r="D362" s="38"/>
      <c r="E362" s="38"/>
      <c r="F362" s="38"/>
      <c r="G362" s="38"/>
      <c r="H362" s="38"/>
    </row>
    <row r="363" spans="1:8" x14ac:dyDescent="0.25">
      <c r="A363" s="41"/>
      <c r="B363" s="42"/>
      <c r="C363" s="38"/>
      <c r="D363" s="38"/>
      <c r="E363" s="38"/>
      <c r="F363" s="38"/>
      <c r="G363" s="38"/>
      <c r="H363" s="38"/>
    </row>
    <row r="364" spans="1:8" x14ac:dyDescent="0.25">
      <c r="A364" s="41"/>
      <c r="B364" s="42"/>
      <c r="C364" s="38"/>
      <c r="D364" s="38"/>
      <c r="E364" s="38"/>
      <c r="F364" s="38"/>
      <c r="G364" s="38"/>
      <c r="H364" s="38"/>
    </row>
    <row r="365" spans="1:8" x14ac:dyDescent="0.25">
      <c r="A365" s="41"/>
      <c r="B365" s="42"/>
      <c r="C365" s="38"/>
      <c r="D365" s="38"/>
      <c r="E365" s="38"/>
      <c r="F365" s="38"/>
      <c r="G365" s="38"/>
      <c r="H365" s="38"/>
    </row>
    <row r="366" spans="1:8" x14ac:dyDescent="0.25">
      <c r="A366" s="41"/>
      <c r="B366" s="42"/>
      <c r="C366" s="38"/>
      <c r="D366" s="38"/>
      <c r="E366" s="38"/>
      <c r="F366" s="38"/>
      <c r="G366" s="38"/>
      <c r="H366" s="38"/>
    </row>
    <row r="367" spans="1:8" x14ac:dyDescent="0.25">
      <c r="A367" s="41"/>
      <c r="B367" s="42"/>
      <c r="C367" s="38"/>
      <c r="D367" s="38"/>
      <c r="E367" s="38"/>
      <c r="F367" s="38"/>
      <c r="G367" s="38"/>
      <c r="H367" s="38"/>
    </row>
    <row r="368" spans="1:8" x14ac:dyDescent="0.25">
      <c r="A368" s="41"/>
      <c r="B368" s="42"/>
      <c r="C368" s="38"/>
      <c r="D368" s="38"/>
      <c r="E368" s="38"/>
      <c r="F368" s="38"/>
      <c r="G368" s="38"/>
      <c r="H368" s="38"/>
    </row>
    <row r="369" spans="1:8" x14ac:dyDescent="0.25">
      <c r="A369" s="41"/>
      <c r="B369" s="42"/>
      <c r="C369" s="38"/>
      <c r="D369" s="38"/>
      <c r="E369" s="38"/>
      <c r="F369" s="38"/>
      <c r="G369" s="38"/>
      <c r="H369" s="38"/>
    </row>
    <row r="370" spans="1:8" x14ac:dyDescent="0.25">
      <c r="A370" s="41"/>
      <c r="B370" s="42"/>
      <c r="C370" s="38"/>
      <c r="D370" s="38"/>
      <c r="E370" s="38"/>
      <c r="F370" s="38"/>
      <c r="G370" s="38"/>
      <c r="H370" s="38"/>
    </row>
    <row r="371" spans="1:8" x14ac:dyDescent="0.25">
      <c r="A371" s="41"/>
      <c r="B371" s="42"/>
      <c r="C371" s="38"/>
      <c r="D371" s="38"/>
      <c r="E371" s="38"/>
      <c r="F371" s="38"/>
      <c r="G371" s="38"/>
      <c r="H371" s="38"/>
    </row>
    <row r="372" spans="1:8" x14ac:dyDescent="0.25">
      <c r="A372" s="41"/>
      <c r="B372" s="42"/>
      <c r="C372" s="38"/>
      <c r="D372" s="38"/>
      <c r="E372" s="38"/>
      <c r="F372" s="38"/>
      <c r="G372" s="38"/>
      <c r="H372" s="38"/>
    </row>
    <row r="373" spans="1:8" x14ac:dyDescent="0.25">
      <c r="A373" s="41"/>
      <c r="B373" s="42"/>
      <c r="C373" s="38"/>
      <c r="D373" s="38"/>
      <c r="E373" s="38"/>
      <c r="F373" s="38"/>
      <c r="G373" s="38"/>
      <c r="H373" s="38"/>
    </row>
    <row r="374" spans="1:8" x14ac:dyDescent="0.25">
      <c r="A374" s="41"/>
      <c r="B374" s="42"/>
      <c r="C374" s="38"/>
      <c r="D374" s="38"/>
      <c r="E374" s="38"/>
      <c r="F374" s="38"/>
      <c r="G374" s="38"/>
      <c r="H374" s="38"/>
    </row>
    <row r="375" spans="1:8" x14ac:dyDescent="0.25">
      <c r="A375" s="41"/>
      <c r="B375" s="42"/>
      <c r="C375" s="38"/>
      <c r="D375" s="38"/>
      <c r="E375" s="38"/>
      <c r="F375" s="38"/>
      <c r="G375" s="38"/>
      <c r="H375" s="38"/>
    </row>
    <row r="376" spans="1:8" x14ac:dyDescent="0.25">
      <c r="A376" s="41"/>
      <c r="B376" s="42"/>
      <c r="C376" s="38"/>
      <c r="D376" s="38"/>
      <c r="E376" s="38"/>
      <c r="F376" s="38"/>
      <c r="G376" s="38"/>
      <c r="H376" s="38"/>
    </row>
    <row r="377" spans="1:8" x14ac:dyDescent="0.25">
      <c r="A377" s="41"/>
      <c r="B377" s="42"/>
      <c r="C377" s="38"/>
      <c r="D377" s="38"/>
      <c r="E377" s="38"/>
      <c r="F377" s="38"/>
      <c r="G377" s="38"/>
      <c r="H377" s="38"/>
    </row>
    <row r="378" spans="1:8" x14ac:dyDescent="0.25">
      <c r="A378" s="41"/>
      <c r="B378" s="42"/>
      <c r="C378" s="38"/>
      <c r="D378" s="38"/>
      <c r="E378" s="38"/>
      <c r="F378" s="38"/>
      <c r="G378" s="38"/>
      <c r="H378" s="38"/>
    </row>
    <row r="379" spans="1:8" x14ac:dyDescent="0.25">
      <c r="A379" s="41"/>
      <c r="B379" s="42"/>
      <c r="C379" s="38"/>
      <c r="D379" s="38"/>
      <c r="E379" s="38"/>
      <c r="F379" s="38"/>
      <c r="G379" s="38"/>
      <c r="H379" s="38"/>
    </row>
    <row r="380" spans="1:8" x14ac:dyDescent="0.25">
      <c r="A380" s="41"/>
      <c r="B380" s="42"/>
      <c r="C380" s="38"/>
      <c r="D380" s="38"/>
      <c r="E380" s="38"/>
      <c r="F380" s="38"/>
      <c r="G380" s="38"/>
      <c r="H380" s="38"/>
    </row>
    <row r="381" spans="1:8" x14ac:dyDescent="0.25">
      <c r="A381" s="41"/>
      <c r="B381" s="42"/>
      <c r="C381" s="38"/>
      <c r="D381" s="38"/>
      <c r="E381" s="38"/>
      <c r="F381" s="38"/>
      <c r="G381" s="38"/>
      <c r="H381" s="38"/>
    </row>
    <row r="382" spans="1:8" x14ac:dyDescent="0.25">
      <c r="A382" s="41"/>
      <c r="B382" s="42"/>
      <c r="C382" s="38"/>
      <c r="D382" s="38"/>
      <c r="E382" s="38"/>
      <c r="F382" s="38"/>
      <c r="G382" s="38"/>
      <c r="H382" s="38"/>
    </row>
    <row r="383" spans="1:8" x14ac:dyDescent="0.25">
      <c r="A383" s="41"/>
      <c r="B383" s="42"/>
      <c r="C383" s="38"/>
      <c r="D383" s="38"/>
      <c r="E383" s="38"/>
      <c r="F383" s="38"/>
      <c r="G383" s="38"/>
      <c r="H383" s="38"/>
    </row>
    <row r="384" spans="1:8" x14ac:dyDescent="0.25">
      <c r="A384" s="41"/>
      <c r="B384" s="42"/>
      <c r="C384" s="38"/>
      <c r="D384" s="38"/>
      <c r="E384" s="38"/>
      <c r="F384" s="38"/>
      <c r="G384" s="38"/>
      <c r="H384" s="38"/>
    </row>
    <row r="385" spans="1:8" x14ac:dyDescent="0.25">
      <c r="A385" s="41"/>
      <c r="B385" s="42"/>
      <c r="C385" s="38"/>
      <c r="D385" s="38"/>
      <c r="E385" s="38"/>
      <c r="F385" s="38"/>
      <c r="G385" s="38"/>
      <c r="H385" s="38"/>
    </row>
    <row r="386" spans="1:8" x14ac:dyDescent="0.25">
      <c r="A386" s="41"/>
      <c r="B386" s="42"/>
      <c r="C386" s="38"/>
      <c r="D386" s="38"/>
      <c r="E386" s="38"/>
      <c r="F386" s="38"/>
      <c r="G386" s="38"/>
      <c r="H386" s="38"/>
    </row>
    <row r="387" spans="1:8" x14ac:dyDescent="0.25">
      <c r="A387" s="41"/>
      <c r="B387" s="42"/>
      <c r="C387" s="38"/>
      <c r="D387" s="38"/>
      <c r="E387" s="38"/>
      <c r="F387" s="38"/>
      <c r="G387" s="38"/>
      <c r="H387" s="38"/>
    </row>
    <row r="388" spans="1:8" x14ac:dyDescent="0.25">
      <c r="A388" s="41"/>
      <c r="B388" s="42"/>
      <c r="C388" s="38"/>
      <c r="D388" s="38"/>
      <c r="E388" s="38"/>
      <c r="F388" s="38"/>
      <c r="G388" s="38"/>
      <c r="H388" s="38"/>
    </row>
    <row r="389" spans="1:8" x14ac:dyDescent="0.25">
      <c r="A389" s="41"/>
      <c r="B389" s="42"/>
      <c r="C389" s="38"/>
      <c r="D389" s="38"/>
      <c r="E389" s="38"/>
      <c r="F389" s="38"/>
      <c r="G389" s="38"/>
      <c r="H389" s="38"/>
    </row>
    <row r="390" spans="1:8" x14ac:dyDescent="0.25">
      <c r="A390" s="41"/>
      <c r="B390" s="42"/>
      <c r="C390" s="38"/>
      <c r="D390" s="38"/>
      <c r="E390" s="38"/>
      <c r="F390" s="38"/>
      <c r="G390" s="38"/>
      <c r="H390" s="38"/>
    </row>
  </sheetData>
  <mergeCells count="147">
    <mergeCell ref="A173:A174"/>
    <mergeCell ref="A181:A182"/>
    <mergeCell ref="A210:A212"/>
    <mergeCell ref="A235:A236"/>
    <mergeCell ref="A256:A257"/>
    <mergeCell ref="A285:A287"/>
    <mergeCell ref="A79:A80"/>
    <mergeCell ref="A228:A230"/>
    <mergeCell ref="C50:C51"/>
    <mergeCell ref="C158:C160"/>
    <mergeCell ref="C171:C172"/>
    <mergeCell ref="C206:C207"/>
    <mergeCell ref="C186:C187"/>
    <mergeCell ref="A158:A160"/>
    <mergeCell ref="B158:B160"/>
    <mergeCell ref="B171:B172"/>
    <mergeCell ref="A171:A172"/>
    <mergeCell ref="B186:B187"/>
    <mergeCell ref="B206:B207"/>
    <mergeCell ref="A206:A207"/>
    <mergeCell ref="A144:A146"/>
    <mergeCell ref="A139:A140"/>
    <mergeCell ref="A141:A142"/>
    <mergeCell ref="I8:J8"/>
    <mergeCell ref="A22:A24"/>
    <mergeCell ref="B22:B24"/>
    <mergeCell ref="C22:C24"/>
    <mergeCell ref="F144:F146"/>
    <mergeCell ref="G144:G146"/>
    <mergeCell ref="B141:B142"/>
    <mergeCell ref="C141:C142"/>
    <mergeCell ref="H144:H146"/>
    <mergeCell ref="F126:F128"/>
    <mergeCell ref="G126:G128"/>
    <mergeCell ref="H126:H128"/>
    <mergeCell ref="E131:E133"/>
    <mergeCell ref="F131:F133"/>
    <mergeCell ref="G131:G133"/>
    <mergeCell ref="H131:H133"/>
    <mergeCell ref="A89:A92"/>
    <mergeCell ref="A96:A97"/>
    <mergeCell ref="A98:A99"/>
    <mergeCell ref="A117:A119"/>
    <mergeCell ref="A131:A133"/>
    <mergeCell ref="A126:A128"/>
    <mergeCell ref="B46:B47"/>
    <mergeCell ref="A46:A47"/>
    <mergeCell ref="E144:E146"/>
    <mergeCell ref="E126:E128"/>
    <mergeCell ref="C139:C140"/>
    <mergeCell ref="B139:B140"/>
    <mergeCell ref="D139:D140"/>
    <mergeCell ref="E139:E140"/>
    <mergeCell ref="B28:B29"/>
    <mergeCell ref="C28:C29"/>
    <mergeCell ref="A28:A29"/>
    <mergeCell ref="B43:B45"/>
    <mergeCell ref="C43:C45"/>
    <mergeCell ref="A43:A45"/>
    <mergeCell ref="B50:B51"/>
    <mergeCell ref="A50:A51"/>
    <mergeCell ref="B79:B80"/>
    <mergeCell ref="C79:C80"/>
    <mergeCell ref="B72:B73"/>
    <mergeCell ref="C72:C73"/>
    <mergeCell ref="A72:A73"/>
    <mergeCell ref="B131:B133"/>
    <mergeCell ref="C131:C133"/>
    <mergeCell ref="B117:B119"/>
    <mergeCell ref="B89:B92"/>
    <mergeCell ref="B144:B146"/>
    <mergeCell ref="D126:D128"/>
    <mergeCell ref="D144:D146"/>
    <mergeCell ref="B126:B128"/>
    <mergeCell ref="C126:C128"/>
    <mergeCell ref="D131:D133"/>
    <mergeCell ref="A273:A274"/>
    <mergeCell ref="B220:B222"/>
    <mergeCell ref="A220:A222"/>
    <mergeCell ref="C220:C222"/>
    <mergeCell ref="C243:C244"/>
    <mergeCell ref="B243:B244"/>
    <mergeCell ref="B266:B269"/>
    <mergeCell ref="C266:C269"/>
    <mergeCell ref="B259:B261"/>
    <mergeCell ref="C259:C261"/>
    <mergeCell ref="A266:A269"/>
    <mergeCell ref="B273:B274"/>
    <mergeCell ref="A241:A242"/>
    <mergeCell ref="A243:A244"/>
    <mergeCell ref="A259:A261"/>
    <mergeCell ref="A233:A234"/>
    <mergeCell ref="B233:B234"/>
    <mergeCell ref="C233:C234"/>
    <mergeCell ref="A248:A249"/>
    <mergeCell ref="C228:C230"/>
    <mergeCell ref="B228:B230"/>
    <mergeCell ref="B241:B242"/>
    <mergeCell ref="C241:C242"/>
    <mergeCell ref="B210:B212"/>
    <mergeCell ref="C210:C212"/>
    <mergeCell ref="A190:A191"/>
    <mergeCell ref="D233:D234"/>
    <mergeCell ref="B285:B287"/>
    <mergeCell ref="C285:C287"/>
    <mergeCell ref="E285:E287"/>
    <mergeCell ref="B256:B257"/>
    <mergeCell ref="C256:C257"/>
    <mergeCell ref="B181:B182"/>
    <mergeCell ref="C181:C182"/>
    <mergeCell ref="B173:B174"/>
    <mergeCell ref="C173:C174"/>
    <mergeCell ref="E173:E174"/>
    <mergeCell ref="B235:B236"/>
    <mergeCell ref="C235:C236"/>
    <mergeCell ref="D235:D236"/>
    <mergeCell ref="C273:C274"/>
    <mergeCell ref="D186:D187"/>
    <mergeCell ref="E186:E187"/>
    <mergeCell ref="B190:B191"/>
    <mergeCell ref="B248:B249"/>
    <mergeCell ref="C248:C249"/>
    <mergeCell ref="E248:E249"/>
    <mergeCell ref="F139:F140"/>
    <mergeCell ref="G139:G140"/>
    <mergeCell ref="H139:H140"/>
    <mergeCell ref="B245:B246"/>
    <mergeCell ref="C245:C246"/>
    <mergeCell ref="E245:E246"/>
    <mergeCell ref="A7:I7"/>
    <mergeCell ref="I126:I128"/>
    <mergeCell ref="I131:I133"/>
    <mergeCell ref="I139:I140"/>
    <mergeCell ref="I144:I146"/>
    <mergeCell ref="I186:I187"/>
    <mergeCell ref="F186:F187"/>
    <mergeCell ref="G186:G187"/>
    <mergeCell ref="H186:H187"/>
    <mergeCell ref="A186:A187"/>
    <mergeCell ref="E79:E80"/>
    <mergeCell ref="C144:C146"/>
    <mergeCell ref="C89:C92"/>
    <mergeCell ref="B96:B97"/>
    <mergeCell ref="C96:C97"/>
    <mergeCell ref="B98:B99"/>
    <mergeCell ref="C98:C99"/>
    <mergeCell ref="C117:C119"/>
  </mergeCells>
  <printOptions horizontalCentered="1"/>
  <pageMargins left="0.35433070866141736" right="0.39370078740157483" top="0.34" bottom="0.19685039370078741" header="0.15748031496062992" footer="0.19685039370078741"/>
  <pageSetup paperSize="9" scale="84" fitToHeight="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приложение 3</vt:lpstr>
      <vt:lpstr>приложение 4</vt:lpstr>
      <vt:lpstr>приложение 5</vt:lpstr>
      <vt:lpstr>'приложение 3'!Заголовки_для_печати</vt:lpstr>
      <vt:lpstr>'приложение 4'!Заголовки_для_печати</vt:lpstr>
      <vt:lpstr>'приложение 5'!Заголовки_для_печати</vt:lpstr>
      <vt:lpstr>'приложение 3'!Область_печати</vt:lpstr>
      <vt:lpstr>'приложение 4'!Область_печати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2021-05-20T08:53:12Z</dcterms:modified>
</cp:coreProperties>
</file>