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приложение 6" sheetId="1" r:id="rId1"/>
    <sheet name="2019 год" sheetId="2" r:id="rId2"/>
  </sheets>
  <definedNames>
    <definedName name="_xlnm._FilterDatabase" localSheetId="0" hidden="1">'приложение 6'!$A$16:$M$814</definedName>
    <definedName name="_xlnm.Print_Titles" localSheetId="1">'2019 год'!$14:$15</definedName>
    <definedName name="_xlnm.Print_Titles" localSheetId="0">'приложение 6'!$16:$17</definedName>
    <definedName name="_xlnm.Print_Area" localSheetId="1">'2019 год'!$A$1:$J$239</definedName>
    <definedName name="_xlnm.Print_Area" localSheetId="0">'приложение 6'!$A$1:$I$814</definedName>
  </definedNames>
  <calcPr calcId="145621"/>
</workbook>
</file>

<file path=xl/calcChain.xml><?xml version="1.0" encoding="utf-8"?>
<calcChain xmlns="http://schemas.openxmlformats.org/spreadsheetml/2006/main">
  <c r="G100" i="2" l="1"/>
  <c r="I226" i="2"/>
  <c r="I227" i="2"/>
  <c r="I228" i="2"/>
  <c r="I229" i="2"/>
  <c r="I231" i="2"/>
  <c r="I223" i="2"/>
  <c r="I219" i="2"/>
  <c r="I216" i="2"/>
  <c r="I211" i="2"/>
  <c r="I213" i="2"/>
  <c r="I197" i="2"/>
  <c r="I198" i="2"/>
  <c r="I199" i="2"/>
  <c r="I193" i="2"/>
  <c r="I195" i="2"/>
  <c r="I192" i="2"/>
  <c r="I190" i="2"/>
  <c r="I189" i="2"/>
  <c r="I185" i="2"/>
  <c r="I186" i="2"/>
  <c r="I181" i="2"/>
  <c r="I179" i="2"/>
  <c r="I180" i="2"/>
  <c r="I176" i="2"/>
  <c r="I175" i="2"/>
  <c r="I171" i="2"/>
  <c r="I170" i="2"/>
  <c r="I168" i="2"/>
  <c r="I160" i="2"/>
  <c r="I157" i="2"/>
  <c r="I153" i="2"/>
  <c r="I150" i="2"/>
  <c r="I146" i="2"/>
  <c r="I145" i="2"/>
  <c r="I135" i="2"/>
  <c r="I137" i="2"/>
  <c r="I140" i="2"/>
  <c r="I141" i="2"/>
  <c r="I142" i="2"/>
  <c r="I127" i="2"/>
  <c r="I128" i="2"/>
  <c r="I129" i="2"/>
  <c r="I130" i="2"/>
  <c r="I133" i="2"/>
  <c r="I134" i="2"/>
  <c r="I121" i="2"/>
  <c r="I122" i="2"/>
  <c r="I123" i="2"/>
  <c r="I126" i="2"/>
  <c r="I112" i="2"/>
  <c r="I115" i="2"/>
  <c r="I116" i="2"/>
  <c r="I106" i="2"/>
  <c r="I109" i="2"/>
  <c r="I110" i="2"/>
  <c r="I111" i="2"/>
  <c r="I102" i="2"/>
  <c r="I103" i="2"/>
  <c r="I104" i="2"/>
  <c r="I105" i="2"/>
  <c r="I94" i="2"/>
  <c r="I96" i="2"/>
  <c r="I97" i="2"/>
  <c r="I98" i="2"/>
  <c r="I99" i="2"/>
  <c r="I90" i="2"/>
  <c r="I91" i="2"/>
  <c r="I92" i="2"/>
  <c r="I93" i="2"/>
  <c r="I87" i="2"/>
  <c r="I86" i="2"/>
  <c r="I77" i="2"/>
  <c r="I83" i="2"/>
  <c r="I18" i="2"/>
  <c r="I19" i="2"/>
  <c r="I20" i="2"/>
  <c r="I21" i="2"/>
  <c r="I22" i="2"/>
  <c r="I24" i="2"/>
  <c r="I25" i="2"/>
  <c r="I26" i="2"/>
  <c r="I31" i="2"/>
  <c r="I32" i="2"/>
  <c r="I33" i="2"/>
  <c r="I35" i="2"/>
  <c r="I36" i="2"/>
  <c r="I37" i="2"/>
  <c r="I38" i="2"/>
  <c r="I39" i="2"/>
  <c r="I40" i="2"/>
  <c r="I41" i="2"/>
  <c r="I42" i="2"/>
  <c r="I43" i="2"/>
  <c r="I48" i="2"/>
  <c r="I51" i="2"/>
  <c r="I52" i="2"/>
  <c r="I55" i="2"/>
  <c r="I59" i="2"/>
  <c r="I61" i="2"/>
  <c r="I65" i="2"/>
  <c r="I67" i="2"/>
  <c r="I69" i="2"/>
  <c r="I70" i="2"/>
  <c r="I72" i="2"/>
  <c r="I73" i="2"/>
  <c r="I74" i="2"/>
  <c r="I75" i="2"/>
  <c r="H230" i="2" l="1"/>
  <c r="G230" i="2"/>
  <c r="H225" i="2"/>
  <c r="G225" i="2"/>
  <c r="H218" i="2"/>
  <c r="G218" i="2"/>
  <c r="H222" i="2"/>
  <c r="G222" i="2"/>
  <c r="G221" i="2" s="1"/>
  <c r="H212" i="2"/>
  <c r="G212" i="2"/>
  <c r="H210" i="2"/>
  <c r="G210" i="2"/>
  <c r="H215" i="2"/>
  <c r="G215" i="2"/>
  <c r="G214" i="2" s="1"/>
  <c r="H207" i="2"/>
  <c r="G207" i="2"/>
  <c r="G206" i="2" s="1"/>
  <c r="H205" i="2"/>
  <c r="G205" i="2"/>
  <c r="H204" i="2"/>
  <c r="G204" i="2"/>
  <c r="H188" i="2"/>
  <c r="G188" i="2"/>
  <c r="H191" i="2"/>
  <c r="G191" i="2"/>
  <c r="H196" i="2"/>
  <c r="G196" i="2"/>
  <c r="H194" i="2"/>
  <c r="G194" i="2"/>
  <c r="H201" i="2"/>
  <c r="G201" i="2"/>
  <c r="G200" i="2" s="1"/>
  <c r="H184" i="2"/>
  <c r="G184" i="2"/>
  <c r="G183" i="2" s="1"/>
  <c r="H178" i="2"/>
  <c r="G178" i="2"/>
  <c r="H177" i="2"/>
  <c r="G177" i="2"/>
  <c r="G173" i="2" s="1"/>
  <c r="G172" i="2" s="1"/>
  <c r="H174" i="2"/>
  <c r="G174" i="2"/>
  <c r="H167" i="2"/>
  <c r="G167" i="2"/>
  <c r="H169" i="2"/>
  <c r="G169" i="2"/>
  <c r="H149" i="2"/>
  <c r="G149" i="2"/>
  <c r="H159" i="2"/>
  <c r="G159" i="2"/>
  <c r="H158" i="2"/>
  <c r="G158" i="2"/>
  <c r="G154" i="2" s="1"/>
  <c r="G148" i="2" s="1"/>
  <c r="H147" i="2"/>
  <c r="G147" i="2"/>
  <c r="H139" i="2"/>
  <c r="G139" i="2"/>
  <c r="H144" i="2"/>
  <c r="G144" i="2"/>
  <c r="G143" i="2" s="1"/>
  <c r="H136" i="2"/>
  <c r="G136" i="2"/>
  <c r="H132" i="2"/>
  <c r="G132" i="2"/>
  <c r="H125" i="2"/>
  <c r="G125" i="2"/>
  <c r="H120" i="2"/>
  <c r="H117" i="2"/>
  <c r="G117" i="2"/>
  <c r="H108" i="2"/>
  <c r="G108" i="2"/>
  <c r="G107" i="2" s="1"/>
  <c r="I139" i="2" l="1"/>
  <c r="I158" i="2"/>
  <c r="I167" i="2"/>
  <c r="I177" i="2"/>
  <c r="I184" i="2"/>
  <c r="I194" i="2"/>
  <c r="I191" i="2"/>
  <c r="I204" i="2"/>
  <c r="I207" i="2"/>
  <c r="I210" i="2"/>
  <c r="I222" i="2"/>
  <c r="I117" i="2"/>
  <c r="G138" i="2"/>
  <c r="G217" i="2"/>
  <c r="I147" i="2"/>
  <c r="I159" i="2"/>
  <c r="I174" i="2"/>
  <c r="I178" i="2"/>
  <c r="I201" i="2"/>
  <c r="I196" i="2"/>
  <c r="I188" i="2"/>
  <c r="I205" i="2"/>
  <c r="I215" i="2"/>
  <c r="I212" i="2"/>
  <c r="I218" i="2"/>
  <c r="H206" i="2"/>
  <c r="I206" i="2" s="1"/>
  <c r="G187" i="2"/>
  <c r="G124" i="2"/>
  <c r="I132" i="2"/>
  <c r="I144" i="2"/>
  <c r="G163" i="2"/>
  <c r="G203" i="2"/>
  <c r="G202" i="2" s="1"/>
  <c r="G224" i="2"/>
  <c r="H143" i="2"/>
  <c r="H154" i="2"/>
  <c r="I154" i="2" s="1"/>
  <c r="H173" i="2"/>
  <c r="H224" i="2"/>
  <c r="I224" i="2" s="1"/>
  <c r="I230" i="2"/>
  <c r="H203" i="2"/>
  <c r="H107" i="2"/>
  <c r="I107" i="2" s="1"/>
  <c r="I108" i="2"/>
  <c r="H148" i="2"/>
  <c r="I148" i="2" s="1"/>
  <c r="I149" i="2"/>
  <c r="H183" i="2"/>
  <c r="I183" i="2" s="1"/>
  <c r="H200" i="2"/>
  <c r="I200" i="2" s="1"/>
  <c r="H214" i="2"/>
  <c r="I214" i="2" s="1"/>
  <c r="H221" i="2"/>
  <c r="H124" i="2"/>
  <c r="I125" i="2"/>
  <c r="H163" i="2"/>
  <c r="I163" i="2" s="1"/>
  <c r="I169" i="2"/>
  <c r="I136" i="2"/>
  <c r="I225" i="2"/>
  <c r="H100" i="2"/>
  <c r="G120" i="2"/>
  <c r="I120" i="2" s="1"/>
  <c r="H119" i="2"/>
  <c r="G119" i="2"/>
  <c r="H118" i="2"/>
  <c r="G118" i="2"/>
  <c r="H114" i="2"/>
  <c r="G114" i="2"/>
  <c r="H95" i="2"/>
  <c r="G95" i="2"/>
  <c r="H89" i="2"/>
  <c r="G89" i="2"/>
  <c r="H85" i="2"/>
  <c r="G85" i="2"/>
  <c r="H84" i="2"/>
  <c r="G84" i="2"/>
  <c r="H82" i="2"/>
  <c r="G82" i="2"/>
  <c r="H76" i="2"/>
  <c r="H64" i="2"/>
  <c r="H58" i="2"/>
  <c r="H50" i="2"/>
  <c r="G76" i="2"/>
  <c r="H78" i="2"/>
  <c r="I78" i="2" s="1"/>
  <c r="G78" i="2"/>
  <c r="H71" i="2"/>
  <c r="G71" i="2"/>
  <c r="G64" i="2"/>
  <c r="H68" i="2"/>
  <c r="G68" i="2"/>
  <c r="H66" i="2"/>
  <c r="G66" i="2"/>
  <c r="H62" i="2"/>
  <c r="G62" i="2"/>
  <c r="G58" i="2"/>
  <c r="H57" i="2"/>
  <c r="I57" i="2" s="1"/>
  <c r="G57" i="2"/>
  <c r="H54" i="2"/>
  <c r="G54" i="2"/>
  <c r="I124" i="2" l="1"/>
  <c r="I62" i="2"/>
  <c r="I68" i="2"/>
  <c r="I85" i="2"/>
  <c r="I95" i="2"/>
  <c r="I118" i="2"/>
  <c r="G88" i="2"/>
  <c r="G113" i="2"/>
  <c r="I84" i="2"/>
  <c r="I119" i="2"/>
  <c r="I76" i="2"/>
  <c r="I100" i="2"/>
  <c r="G63" i="2"/>
  <c r="G56" i="2"/>
  <c r="I58" i="2"/>
  <c r="I71" i="2"/>
  <c r="I89" i="2"/>
  <c r="H88" i="2"/>
  <c r="I114" i="2"/>
  <c r="H113" i="2"/>
  <c r="I113" i="2" s="1"/>
  <c r="H138" i="2"/>
  <c r="I138" i="2" s="1"/>
  <c r="I143" i="2"/>
  <c r="H217" i="2"/>
  <c r="I217" i="2" s="1"/>
  <c r="I221" i="2"/>
  <c r="I203" i="2"/>
  <c r="H202" i="2"/>
  <c r="I202" i="2" s="1"/>
  <c r="I173" i="2"/>
  <c r="H172" i="2"/>
  <c r="I172" i="2" s="1"/>
  <c r="H63" i="2"/>
  <c r="I63" i="2" s="1"/>
  <c r="I82" i="2"/>
  <c r="H81" i="2"/>
  <c r="I64" i="2"/>
  <c r="I54" i="2"/>
  <c r="I66" i="2"/>
  <c r="H56" i="2"/>
  <c r="I56" i="2" s="1"/>
  <c r="G81" i="2"/>
  <c r="H187" i="2"/>
  <c r="I187" i="2" s="1"/>
  <c r="H53" i="2"/>
  <c r="G53" i="2"/>
  <c r="G50" i="2"/>
  <c r="H47" i="2"/>
  <c r="I47" i="2" s="1"/>
  <c r="G47" i="2"/>
  <c r="H46" i="2"/>
  <c r="G46" i="2"/>
  <c r="G45" i="2" s="1"/>
  <c r="G34" i="2"/>
  <c r="G30" i="2"/>
  <c r="G23" i="2"/>
  <c r="G17" i="2"/>
  <c r="D38" i="2"/>
  <c r="G80" i="2" l="1"/>
  <c r="I88" i="2"/>
  <c r="G16" i="2"/>
  <c r="I53" i="2"/>
  <c r="H49" i="2"/>
  <c r="G49" i="2"/>
  <c r="G44" i="2" s="1"/>
  <c r="I50" i="2"/>
  <c r="I46" i="2"/>
  <c r="H45" i="2"/>
  <c r="I81" i="2"/>
  <c r="H80" i="2"/>
  <c r="H34" i="2"/>
  <c r="I34" i="2" s="1"/>
  <c r="H30" i="2"/>
  <c r="I30" i="2" s="1"/>
  <c r="I80" i="2" l="1"/>
  <c r="I49" i="2"/>
  <c r="G232" i="2"/>
  <c r="I45" i="2"/>
  <c r="H44" i="2"/>
  <c r="I44" i="2" s="1"/>
  <c r="H23" i="2"/>
  <c r="I23" i="2" s="1"/>
  <c r="H17" i="2"/>
  <c r="I17" i="2" s="1"/>
  <c r="H16" i="2" l="1"/>
  <c r="G438" i="1"/>
  <c r="G440" i="1"/>
  <c r="G448" i="1"/>
  <c r="G30" i="1"/>
  <c r="G456" i="1"/>
  <c r="G802" i="1"/>
  <c r="G423" i="1"/>
  <c r="I16" i="2" l="1"/>
  <c r="H232" i="2"/>
  <c r="I232" i="2" s="1"/>
  <c r="G336" i="1"/>
  <c r="G338" i="1"/>
  <c r="G331" i="1"/>
  <c r="G297" i="1"/>
  <c r="G300" i="1"/>
  <c r="H180" i="1"/>
  <c r="H179" i="1" s="1"/>
  <c r="I180" i="1"/>
  <c r="I179" i="1" s="1"/>
  <c r="G180" i="1"/>
  <c r="G179" i="1" s="1"/>
  <c r="G162" i="1"/>
  <c r="F91" i="2"/>
  <c r="H490" i="1"/>
  <c r="H489" i="1" s="1"/>
  <c r="I490" i="1"/>
  <c r="I489" i="1" s="1"/>
  <c r="G490" i="1"/>
  <c r="G489" i="1" s="1"/>
  <c r="G509" i="1"/>
  <c r="G500" i="1"/>
  <c r="G497" i="1"/>
  <c r="G488" i="1"/>
  <c r="G473" i="1"/>
  <c r="G470" i="1"/>
  <c r="G467" i="1"/>
  <c r="G728" i="1"/>
  <c r="G775" i="1"/>
  <c r="G777" i="1"/>
  <c r="G335" i="1" l="1"/>
  <c r="G334" i="1" s="1"/>
  <c r="G333" i="1" s="1"/>
  <c r="G332" i="1" s="1"/>
  <c r="F177" i="2"/>
  <c r="C177" i="2"/>
  <c r="H353" i="1"/>
  <c r="H352" i="1" s="1"/>
  <c r="I353" i="1"/>
  <c r="I352" i="1" s="1"/>
  <c r="G353" i="1"/>
  <c r="G352" i="1" s="1"/>
  <c r="G485" i="1"/>
  <c r="H447" i="1"/>
  <c r="H446" i="1" s="1"/>
  <c r="I447" i="1"/>
  <c r="I446" i="1" s="1"/>
  <c r="G447" i="1"/>
  <c r="G446" i="1" s="1"/>
  <c r="G425" i="1"/>
  <c r="G70" i="1"/>
  <c r="G143" i="1"/>
  <c r="H217" i="1"/>
  <c r="H216" i="1" s="1"/>
  <c r="I217" i="1"/>
  <c r="I216" i="1" s="1"/>
  <c r="G217" i="1"/>
  <c r="G216" i="1" s="1"/>
  <c r="H290" i="1"/>
  <c r="H289" i="1" s="1"/>
  <c r="I290" i="1"/>
  <c r="I289" i="1" s="1"/>
  <c r="G290" i="1"/>
  <c r="G289" i="1" s="1"/>
  <c r="G209" i="1"/>
  <c r="G244" i="1"/>
  <c r="G287" i="1" l="1"/>
  <c r="G286" i="1" s="1"/>
  <c r="G288" i="1"/>
  <c r="H287" i="1"/>
  <c r="H286" i="1" s="1"/>
  <c r="H288" i="1"/>
  <c r="I287" i="1"/>
  <c r="I286" i="1" s="1"/>
  <c r="I288" i="1"/>
  <c r="G787" i="1"/>
  <c r="G266" i="1" l="1"/>
  <c r="G279" i="1"/>
  <c r="G168" i="1"/>
  <c r="G28" i="1"/>
  <c r="G49" i="1"/>
  <c r="G105" i="1"/>
  <c r="G635" i="1" l="1"/>
  <c r="G648" i="1"/>
  <c r="G638" i="1"/>
  <c r="G809" i="1"/>
  <c r="G804" i="1"/>
  <c r="G371" i="1"/>
  <c r="G453" i="1" l="1"/>
  <c r="G349" i="1"/>
  <c r="G401" i="1"/>
  <c r="G399" i="1"/>
  <c r="G684" i="1"/>
  <c r="G682" i="1"/>
  <c r="G599" i="1"/>
  <c r="G614" i="1"/>
  <c r="G581" i="1"/>
  <c r="G550" i="1"/>
  <c r="G548" i="1"/>
  <c r="G464" i="1"/>
  <c r="G530" i="1"/>
  <c r="G722" i="1"/>
  <c r="G763" i="1"/>
  <c r="G762" i="1"/>
  <c r="G767" i="1"/>
  <c r="G750" i="1"/>
  <c r="G756" i="1"/>
  <c r="G789" i="1"/>
  <c r="H811" i="1"/>
  <c r="H810" i="1" s="1"/>
  <c r="I811" i="1"/>
  <c r="I810" i="1" s="1"/>
  <c r="G811" i="1"/>
  <c r="G810" i="1" s="1"/>
  <c r="G806" i="1"/>
  <c r="G805" i="1" s="1"/>
  <c r="H793" i="1"/>
  <c r="H792" i="1" s="1"/>
  <c r="I793" i="1"/>
  <c r="I792" i="1" s="1"/>
  <c r="G793" i="1"/>
  <c r="G792" i="1" s="1"/>
  <c r="F40" i="2"/>
  <c r="G779" i="1"/>
  <c r="H771" i="1"/>
  <c r="H770" i="1" s="1"/>
  <c r="I771" i="1"/>
  <c r="I770" i="1" s="1"/>
  <c r="G771" i="1"/>
  <c r="G770" i="1" s="1"/>
  <c r="G734" i="1"/>
  <c r="F68" i="2"/>
  <c r="F133" i="2"/>
  <c r="H691" i="1"/>
  <c r="H690" i="1" s="1"/>
  <c r="I691" i="1"/>
  <c r="I690" i="1" s="1"/>
  <c r="G691" i="1"/>
  <c r="G690" i="1" s="1"/>
  <c r="G657" i="1"/>
  <c r="G641" i="1"/>
  <c r="G617" i="1"/>
  <c r="G616" i="1" s="1"/>
  <c r="H604" i="1"/>
  <c r="H603" i="1" s="1"/>
  <c r="I604" i="1"/>
  <c r="I603" i="1" s="1"/>
  <c r="G604" i="1"/>
  <c r="G603" i="1" s="1"/>
  <c r="G589" i="1"/>
  <c r="G588" i="1" s="1"/>
  <c r="H586" i="1"/>
  <c r="H585" i="1" s="1"/>
  <c r="I586" i="1"/>
  <c r="I585" i="1" s="1"/>
  <c r="G586" i="1"/>
  <c r="G585" i="1" s="1"/>
  <c r="G584" i="1"/>
  <c r="F119" i="2"/>
  <c r="F111" i="2"/>
  <c r="F110" i="2"/>
  <c r="F106" i="2"/>
  <c r="F92" i="2"/>
  <c r="F87" i="2"/>
  <c r="G556" i="1"/>
  <c r="H558" i="1" l="1"/>
  <c r="H557" i="1" s="1"/>
  <c r="I558" i="1"/>
  <c r="I557" i="1" s="1"/>
  <c r="G558" i="1"/>
  <c r="G557" i="1" s="1"/>
  <c r="H538" i="1"/>
  <c r="H537" i="1" s="1"/>
  <c r="I538" i="1"/>
  <c r="I537" i="1" s="1"/>
  <c r="G538" i="1"/>
  <c r="G537" i="1" s="1"/>
  <c r="H535" i="1"/>
  <c r="H534" i="1" s="1"/>
  <c r="I535" i="1"/>
  <c r="I534" i="1" s="1"/>
  <c r="G535" i="1"/>
  <c r="G534" i="1" s="1"/>
  <c r="G533" i="1"/>
  <c r="G526" i="1"/>
  <c r="H514" i="1"/>
  <c r="H513" i="1" s="1"/>
  <c r="I514" i="1"/>
  <c r="I513" i="1" s="1"/>
  <c r="G514" i="1"/>
  <c r="G513" i="1" s="1"/>
  <c r="G512" i="1"/>
  <c r="H493" i="1"/>
  <c r="H492" i="1" s="1"/>
  <c r="I493" i="1"/>
  <c r="I492" i="1" s="1"/>
  <c r="G493" i="1"/>
  <c r="G492" i="1" s="1"/>
  <c r="H478" i="1"/>
  <c r="H477" i="1" s="1"/>
  <c r="I478" i="1"/>
  <c r="I477" i="1" s="1"/>
  <c r="G478" i="1"/>
  <c r="G477" i="1" s="1"/>
  <c r="H444" i="1"/>
  <c r="H443" i="1" s="1"/>
  <c r="I444" i="1"/>
  <c r="I443" i="1" s="1"/>
  <c r="G444" i="1"/>
  <c r="G443" i="1" s="1"/>
  <c r="H429" i="1"/>
  <c r="H428" i="1" s="1"/>
  <c r="I429" i="1"/>
  <c r="I428" i="1" s="1"/>
  <c r="G429" i="1"/>
  <c r="G428" i="1" s="1"/>
  <c r="H409" i="1"/>
  <c r="H408" i="1" s="1"/>
  <c r="I409" i="1"/>
  <c r="I408" i="1" s="1"/>
  <c r="G409" i="1"/>
  <c r="G408" i="1" s="1"/>
  <c r="F53" i="2"/>
  <c r="G381" i="1"/>
  <c r="H377" i="1"/>
  <c r="H376" i="1" s="1"/>
  <c r="I377" i="1"/>
  <c r="I376" i="1" s="1"/>
  <c r="G377" i="1"/>
  <c r="G376" i="1" s="1"/>
  <c r="F178" i="2"/>
  <c r="H356" i="1"/>
  <c r="H355" i="1" s="1"/>
  <c r="I356" i="1"/>
  <c r="I355" i="1" s="1"/>
  <c r="G356" i="1"/>
  <c r="G355" i="1" s="1"/>
  <c r="F185" i="2"/>
  <c r="G316" i="1"/>
  <c r="H271" i="1"/>
  <c r="H270" i="1" s="1"/>
  <c r="I271" i="1"/>
  <c r="I270" i="1" s="1"/>
  <c r="G271" i="1"/>
  <c r="G270" i="1" s="1"/>
  <c r="G260" i="1"/>
  <c r="G236" i="1"/>
  <c r="G227" i="1"/>
  <c r="G204" i="1"/>
  <c r="G199" i="1"/>
  <c r="H177" i="1"/>
  <c r="H176" i="1" s="1"/>
  <c r="I177" i="1"/>
  <c r="I176" i="1" s="1"/>
  <c r="G177" i="1"/>
  <c r="G176" i="1" s="1"/>
  <c r="H158" i="1"/>
  <c r="H157" i="1" s="1"/>
  <c r="I158" i="1"/>
  <c r="I157" i="1" s="1"/>
  <c r="G158" i="1"/>
  <c r="G157" i="1" s="1"/>
  <c r="F205" i="2"/>
  <c r="F204" i="2"/>
  <c r="H147" i="1"/>
  <c r="H146" i="1" s="1"/>
  <c r="H145" i="1" s="1"/>
  <c r="H144" i="1" s="1"/>
  <c r="I147" i="1"/>
  <c r="I146" i="1" s="1"/>
  <c r="I145" i="1" s="1"/>
  <c r="I144" i="1" s="1"/>
  <c r="G147" i="1"/>
  <c r="G146" i="1" s="1"/>
  <c r="G145" i="1" s="1"/>
  <c r="G144" i="1" s="1"/>
  <c r="G114" i="1"/>
  <c r="H98" i="1"/>
  <c r="H97" i="1" s="1"/>
  <c r="I98" i="1"/>
  <c r="I97" i="1" s="1"/>
  <c r="G98" i="1"/>
  <c r="G97" i="1" s="1"/>
  <c r="G95" i="1"/>
  <c r="G94" i="1" s="1"/>
  <c r="H87" i="1"/>
  <c r="H86" i="1" s="1"/>
  <c r="H85" i="1" s="1"/>
  <c r="I87" i="1"/>
  <c r="I86" i="1" s="1"/>
  <c r="I85" i="1" s="1"/>
  <c r="G88" i="1"/>
  <c r="G87" i="1" s="1"/>
  <c r="G86" i="1" s="1"/>
  <c r="G85" i="1" s="1"/>
  <c r="G63" i="1"/>
  <c r="G46" i="1"/>
  <c r="H36" i="1"/>
  <c r="H35" i="1" s="1"/>
  <c r="I36" i="1"/>
  <c r="I35" i="1" s="1"/>
  <c r="G36" i="1"/>
  <c r="G35" i="1" s="1"/>
  <c r="G25" i="1"/>
  <c r="H209" i="1"/>
  <c r="G442" i="1"/>
  <c r="G156" i="1"/>
  <c r="F203" i="2" l="1"/>
  <c r="G93" i="1"/>
  <c r="G92" i="1" s="1"/>
  <c r="G91" i="1" s="1"/>
  <c r="F229" i="2"/>
  <c r="F135" i="2"/>
  <c r="G699" i="1"/>
  <c r="H711" i="1"/>
  <c r="H710" i="1" s="1"/>
  <c r="I711" i="1"/>
  <c r="I710" i="1" s="1"/>
  <c r="G711" i="1"/>
  <c r="G710" i="1" s="1"/>
  <c r="G707" i="1"/>
  <c r="G623" i="1"/>
  <c r="G622" i="1" s="1"/>
  <c r="G621" i="1"/>
  <c r="G611" i="1"/>
  <c r="G667" i="1"/>
  <c r="G654" i="1"/>
  <c r="G660" i="1"/>
  <c r="G676" i="1"/>
  <c r="G675" i="1" s="1"/>
  <c r="G674" i="1" s="1"/>
  <c r="F78" i="2" s="1"/>
  <c r="G664" i="1"/>
  <c r="F228" i="2"/>
  <c r="F227" i="2"/>
  <c r="H707" i="1"/>
  <c r="H706" i="1" s="1"/>
  <c r="H705" i="1" s="1"/>
  <c r="H704" i="1" s="1"/>
  <c r="I707" i="1"/>
  <c r="I706" i="1" s="1"/>
  <c r="I705" i="1" s="1"/>
  <c r="I704" i="1" s="1"/>
  <c r="H675" i="1"/>
  <c r="H674" i="1" s="1"/>
  <c r="I675" i="1"/>
  <c r="I674" i="1" s="1"/>
  <c r="H672" i="1"/>
  <c r="H671" i="1" s="1"/>
  <c r="I672" i="1"/>
  <c r="I671" i="1" s="1"/>
  <c r="G673" i="1"/>
  <c r="H656" i="1"/>
  <c r="H655" i="1" s="1"/>
  <c r="I656" i="1"/>
  <c r="I655" i="1" s="1"/>
  <c r="H640" i="1"/>
  <c r="H639" i="1" s="1"/>
  <c r="I640" i="1"/>
  <c r="I639" i="1" s="1"/>
  <c r="H601" i="1"/>
  <c r="H600" i="1" s="1"/>
  <c r="I601" i="1"/>
  <c r="I600" i="1" s="1"/>
  <c r="H583" i="1"/>
  <c r="H582" i="1" s="1"/>
  <c r="I583" i="1"/>
  <c r="I582" i="1" s="1"/>
  <c r="H592" i="1"/>
  <c r="H591" i="1" s="1"/>
  <c r="H126" i="1"/>
  <c r="H125" i="1" s="1"/>
  <c r="H124" i="1" s="1"/>
  <c r="H123" i="1" s="1"/>
  <c r="H122" i="1" s="1"/>
  <c r="I126" i="1"/>
  <c r="I125" i="1" s="1"/>
  <c r="I124" i="1" s="1"/>
  <c r="I123" i="1" s="1"/>
  <c r="I122" i="1" s="1"/>
  <c r="G126" i="1"/>
  <c r="G125" i="1" s="1"/>
  <c r="G124" i="1" s="1"/>
  <c r="G123" i="1" s="1"/>
  <c r="G122" i="1" s="1"/>
  <c r="G121" i="1" s="1"/>
  <c r="F168" i="2"/>
  <c r="F167" i="2" s="1"/>
  <c r="H84" i="1"/>
  <c r="H119" i="1"/>
  <c r="H118" i="1" s="1"/>
  <c r="H117" i="1" s="1"/>
  <c r="H116" i="1" s="1"/>
  <c r="H115" i="1" s="1"/>
  <c r="I119" i="1"/>
  <c r="I118" i="1" s="1"/>
  <c r="I117" i="1" s="1"/>
  <c r="I116" i="1" s="1"/>
  <c r="I115" i="1" s="1"/>
  <c r="G119" i="1"/>
  <c r="G118" i="1" s="1"/>
  <c r="G117" i="1" s="1"/>
  <c r="G116" i="1" s="1"/>
  <c r="G115" i="1" s="1"/>
  <c r="H113" i="1"/>
  <c r="H112" i="1" s="1"/>
  <c r="I113" i="1"/>
  <c r="I112" i="1" s="1"/>
  <c r="G113" i="1"/>
  <c r="G112" i="1" s="1"/>
  <c r="H110" i="1"/>
  <c r="H109" i="1" s="1"/>
  <c r="I110" i="1"/>
  <c r="I109" i="1" s="1"/>
  <c r="G110" i="1"/>
  <c r="G109" i="1" s="1"/>
  <c r="H79" i="1"/>
  <c r="H78" i="1" s="1"/>
  <c r="H77" i="1" s="1"/>
  <c r="I79" i="1"/>
  <c r="I78" i="1" s="1"/>
  <c r="I77" i="1" s="1"/>
  <c r="G79" i="1"/>
  <c r="G78" i="1" s="1"/>
  <c r="G77" i="1" s="1"/>
  <c r="H56" i="1"/>
  <c r="F157" i="2" l="1"/>
  <c r="G108" i="1"/>
  <c r="H108" i="1"/>
  <c r="I108" i="1"/>
  <c r="G706" i="1"/>
  <c r="G705" i="1" s="1"/>
  <c r="G704" i="1" s="1"/>
  <c r="H121" i="1"/>
  <c r="I121" i="1"/>
  <c r="F158" i="2"/>
  <c r="F195" i="2"/>
  <c r="F194" i="2" s="1"/>
  <c r="G503" i="1"/>
  <c r="F154" i="2" l="1"/>
  <c r="G518" i="1"/>
  <c r="H520" i="1"/>
  <c r="H519" i="1" s="1"/>
  <c r="I520" i="1"/>
  <c r="I519" i="1" s="1"/>
  <c r="G520" i="1"/>
  <c r="G519" i="1" s="1"/>
  <c r="F105" i="2" s="1"/>
  <c r="G506" i="1" l="1"/>
  <c r="G424" i="1"/>
  <c r="H541" i="1"/>
  <c r="H540" i="1" s="1"/>
  <c r="I541" i="1"/>
  <c r="I540" i="1" s="1"/>
  <c r="G541" i="1"/>
  <c r="G540" i="1" s="1"/>
  <c r="F112" i="2" s="1"/>
  <c r="H502" i="1"/>
  <c r="H501" i="1" s="1"/>
  <c r="I502" i="1"/>
  <c r="I501" i="1" s="1"/>
  <c r="G502" i="1"/>
  <c r="G501" i="1" s="1"/>
  <c r="F97" i="2" s="1"/>
  <c r="F33" i="2"/>
  <c r="H733" i="1"/>
  <c r="H732" i="1" s="1"/>
  <c r="I733" i="1"/>
  <c r="I732" i="1" s="1"/>
  <c r="G733" i="1"/>
  <c r="G732" i="1" s="1"/>
  <c r="H790" i="1"/>
  <c r="I790" i="1"/>
  <c r="G790" i="1"/>
  <c r="H426" i="1"/>
  <c r="I426" i="1"/>
  <c r="G426" i="1"/>
  <c r="H424" i="1"/>
  <c r="I424" i="1"/>
  <c r="G404" i="1"/>
  <c r="G402" i="1" s="1"/>
  <c r="G391" i="1"/>
  <c r="G325" i="1"/>
  <c r="I309" i="1"/>
  <c r="H309" i="1"/>
  <c r="H305" i="1"/>
  <c r="H304" i="1" s="1"/>
  <c r="H303" i="1" s="1"/>
  <c r="I305" i="1"/>
  <c r="I304" i="1" s="1"/>
  <c r="I303" i="1" s="1"/>
  <c r="H265" i="1"/>
  <c r="H264" i="1" s="1"/>
  <c r="I265" i="1"/>
  <c r="I264" i="1" s="1"/>
  <c r="G265" i="1"/>
  <c r="G264" i="1" s="1"/>
  <c r="H161" i="1"/>
  <c r="H160" i="1" s="1"/>
  <c r="I161" i="1"/>
  <c r="I160" i="1" s="1"/>
  <c r="G161" i="1"/>
  <c r="G160" i="1" s="1"/>
  <c r="H39" i="1"/>
  <c r="H38" i="1" s="1"/>
  <c r="H34" i="1" s="1"/>
  <c r="H33" i="1" s="1"/>
  <c r="I39" i="1"/>
  <c r="I38" i="1" s="1"/>
  <c r="I34" i="1" s="1"/>
  <c r="I33" i="1" s="1"/>
  <c r="G39" i="1"/>
  <c r="G38" i="1" s="1"/>
  <c r="G34" i="1" s="1"/>
  <c r="G33" i="1" s="1"/>
  <c r="F201" i="2" l="1"/>
  <c r="F200" i="2" s="1"/>
  <c r="G263" i="1"/>
  <c r="H263" i="1"/>
  <c r="I263" i="1"/>
  <c r="H412" i="1"/>
  <c r="I412" i="1"/>
  <c r="H414" i="1"/>
  <c r="I414" i="1"/>
  <c r="I401" i="1"/>
  <c r="H401" i="1"/>
  <c r="I399" i="1"/>
  <c r="H399" i="1"/>
  <c r="H406" i="1"/>
  <c r="H405" i="1" s="1"/>
  <c r="I406" i="1"/>
  <c r="I405" i="1" s="1"/>
  <c r="I143" i="1"/>
  <c r="H143" i="1"/>
  <c r="I651" i="1"/>
  <c r="H651" i="1"/>
  <c r="G651" i="1"/>
  <c r="H362" i="1"/>
  <c r="H361" i="1" s="1"/>
  <c r="I362" i="1"/>
  <c r="I361" i="1" s="1"/>
  <c r="I62" i="1"/>
  <c r="I61" i="1" s="1"/>
  <c r="I60" i="1" s="1"/>
  <c r="I59" i="1" s="1"/>
  <c r="I58" i="1" s="1"/>
  <c r="I57" i="1" s="1"/>
  <c r="H62" i="1"/>
  <c r="H61" i="1" s="1"/>
  <c r="H60" i="1" s="1"/>
  <c r="H59" i="1" s="1"/>
  <c r="H58" i="1" s="1"/>
  <c r="H57" i="1" s="1"/>
  <c r="I331" i="1"/>
  <c r="I509" i="1"/>
  <c r="H509" i="1"/>
  <c r="I573" i="1"/>
  <c r="H573" i="1"/>
  <c r="H187" i="1"/>
  <c r="F192" i="2"/>
  <c r="H75" i="1"/>
  <c r="H74" i="1" s="1"/>
  <c r="H73" i="1" s="1"/>
  <c r="I75" i="1"/>
  <c r="I74" i="1" s="1"/>
  <c r="I73" i="1" s="1"/>
  <c r="G75" i="1"/>
  <c r="G74" i="1" s="1"/>
  <c r="G73" i="1" s="1"/>
  <c r="F99" i="2"/>
  <c r="H505" i="1"/>
  <c r="H504" i="1" s="1"/>
  <c r="I505" i="1"/>
  <c r="I504" i="1" s="1"/>
  <c r="G505" i="1"/>
  <c r="G504" i="1" s="1"/>
  <c r="F118" i="2"/>
  <c r="H555" i="1"/>
  <c r="H554" i="1" s="1"/>
  <c r="I555" i="1"/>
  <c r="I554" i="1" s="1"/>
  <c r="G555" i="1"/>
  <c r="G554" i="1" s="1"/>
  <c r="G573" i="1"/>
  <c r="F109" i="2"/>
  <c r="H532" i="1"/>
  <c r="H531" i="1" s="1"/>
  <c r="I532" i="1"/>
  <c r="I531" i="1" s="1"/>
  <c r="G532" i="1"/>
  <c r="G531" i="1" s="1"/>
  <c r="F101" i="2"/>
  <c r="H525" i="1"/>
  <c r="H524" i="1" s="1"/>
  <c r="H523" i="1" s="1"/>
  <c r="I525" i="1"/>
  <c r="I524" i="1" s="1"/>
  <c r="I523" i="1" s="1"/>
  <c r="G525" i="1"/>
  <c r="G524" i="1" s="1"/>
  <c r="G523" i="1" s="1"/>
  <c r="I411" i="1" l="1"/>
  <c r="H411" i="1"/>
  <c r="F94" i="2"/>
  <c r="F90" i="2"/>
  <c r="H511" i="1"/>
  <c r="H510" i="1" s="1"/>
  <c r="I511" i="1"/>
  <c r="I510" i="1" s="1"/>
  <c r="G511" i="1"/>
  <c r="G510" i="1" s="1"/>
  <c r="H487" i="1"/>
  <c r="H486" i="1" s="1"/>
  <c r="I487" i="1"/>
  <c r="I486" i="1" s="1"/>
  <c r="G487" i="1"/>
  <c r="G486" i="1" s="1"/>
  <c r="F83" i="2"/>
  <c r="C83" i="2"/>
  <c r="H466" i="1"/>
  <c r="H465" i="1" s="1"/>
  <c r="I466" i="1"/>
  <c r="I465" i="1" s="1"/>
  <c r="G466" i="1"/>
  <c r="G465" i="1" s="1"/>
  <c r="I46" i="1"/>
  <c r="H46" i="1"/>
  <c r="G688" i="1"/>
  <c r="G687" i="1" s="1"/>
  <c r="F75" i="2"/>
  <c r="G672" i="1"/>
  <c r="G671" i="1" s="1"/>
  <c r="F62" i="2"/>
  <c r="C62" i="2"/>
  <c r="G659" i="1"/>
  <c r="G658" i="1" s="1"/>
  <c r="F61" i="2"/>
  <c r="G656" i="1"/>
  <c r="G655" i="1" s="1"/>
  <c r="F48" i="2"/>
  <c r="C48" i="2"/>
  <c r="G640" i="1"/>
  <c r="G639" i="1" s="1"/>
  <c r="F127" i="2"/>
  <c r="G601" i="1"/>
  <c r="G600" i="1" s="1"/>
  <c r="F70" i="2"/>
  <c r="F65" i="2"/>
  <c r="G592" i="1"/>
  <c r="G591" i="1" s="1"/>
  <c r="G583" i="1"/>
  <c r="G582" i="1" s="1"/>
  <c r="G406" i="1"/>
  <c r="G405" i="1" s="1"/>
  <c r="G414" i="1"/>
  <c r="G412" i="1"/>
  <c r="F181" i="2"/>
  <c r="G362" i="1"/>
  <c r="G361" i="1" s="1"/>
  <c r="F98" i="2"/>
  <c r="G309" i="1"/>
  <c r="G308" i="1" s="1"/>
  <c r="G411" i="1" l="1"/>
  <c r="F66" i="2"/>
  <c r="F96" i="2"/>
  <c r="G305" i="1"/>
  <c r="G304" i="1" s="1"/>
  <c r="G303" i="1" s="1"/>
  <c r="G302" i="1" s="1"/>
  <c r="G187" i="1"/>
  <c r="G174" i="1"/>
  <c r="G173" i="1" s="1"/>
  <c r="F179" i="2"/>
  <c r="G62" i="1"/>
  <c r="G61" i="1" s="1"/>
  <c r="G60" i="1" s="1"/>
  <c r="G59" i="1" s="1"/>
  <c r="G58" i="1" s="1"/>
  <c r="G57" i="1" s="1"/>
  <c r="G56" i="1" l="1"/>
  <c r="F147" i="2"/>
  <c r="G24" i="1"/>
  <c r="G23" i="1" s="1"/>
  <c r="F165" i="2"/>
  <c r="F164" i="2" s="1"/>
  <c r="H104" i="1"/>
  <c r="H103" i="1" s="1"/>
  <c r="H102" i="1" s="1"/>
  <c r="H101" i="1" s="1"/>
  <c r="H100" i="1" s="1"/>
  <c r="I104" i="1"/>
  <c r="I103" i="1" s="1"/>
  <c r="I102" i="1" s="1"/>
  <c r="I101" i="1" s="1"/>
  <c r="I100" i="1" s="1"/>
  <c r="G104" i="1"/>
  <c r="G103" i="1" s="1"/>
  <c r="G102" i="1" s="1"/>
  <c r="G101" i="1" s="1"/>
  <c r="G100" i="1" s="1"/>
  <c r="F74" i="2"/>
  <c r="F231" i="2" l="1"/>
  <c r="F230" i="2" s="1"/>
  <c r="F137" i="2"/>
  <c r="F136" i="2" s="1"/>
  <c r="F134" i="2"/>
  <c r="F132" i="2" s="1"/>
  <c r="F131" i="2"/>
  <c r="F130" i="2"/>
  <c r="F129" i="2"/>
  <c r="F126" i="2"/>
  <c r="H702" i="1"/>
  <c r="H701" i="1" s="1"/>
  <c r="H700" i="1" s="1"/>
  <c r="I702" i="1"/>
  <c r="I701" i="1" s="1"/>
  <c r="I700" i="1" s="1"/>
  <c r="G702" i="1"/>
  <c r="G701" i="1" s="1"/>
  <c r="G700" i="1" s="1"/>
  <c r="H627" i="1"/>
  <c r="H626" i="1" s="1"/>
  <c r="H625" i="1" s="1"/>
  <c r="I627" i="1"/>
  <c r="I626" i="1" s="1"/>
  <c r="I625" i="1" s="1"/>
  <c r="G627" i="1"/>
  <c r="G626" i="1" s="1"/>
  <c r="G625" i="1" s="1"/>
  <c r="H620" i="1"/>
  <c r="H619" i="1" s="1"/>
  <c r="H615" i="1" s="1"/>
  <c r="I620" i="1"/>
  <c r="I619" i="1" s="1"/>
  <c r="I615" i="1" s="1"/>
  <c r="G620" i="1"/>
  <c r="G619" i="1" s="1"/>
  <c r="G615" i="1" s="1"/>
  <c r="H613" i="1"/>
  <c r="H612" i="1" s="1"/>
  <c r="I613" i="1"/>
  <c r="I612" i="1" s="1"/>
  <c r="G613" i="1"/>
  <c r="G612" i="1" s="1"/>
  <c r="F104" i="2"/>
  <c r="F102" i="2"/>
  <c r="H570" i="1"/>
  <c r="I570" i="1"/>
  <c r="G570" i="1"/>
  <c r="H517" i="1"/>
  <c r="H516" i="1" s="1"/>
  <c r="I517" i="1"/>
  <c r="I516" i="1" s="1"/>
  <c r="G517" i="1"/>
  <c r="G516" i="1" s="1"/>
  <c r="F219" i="2"/>
  <c r="F223" i="2"/>
  <c r="F222" i="2"/>
  <c r="F125" i="2" l="1"/>
  <c r="F124" i="2" s="1"/>
  <c r="F221" i="2"/>
  <c r="F198" i="2"/>
  <c r="F197" i="2"/>
  <c r="F190" i="2"/>
  <c r="C190" i="2"/>
  <c r="C186" i="2"/>
  <c r="F180" i="2"/>
  <c r="F160" i="2"/>
  <c r="F159" i="2" s="1"/>
  <c r="F153" i="2"/>
  <c r="F150" i="2"/>
  <c r="F26" i="2"/>
  <c r="H669" i="1"/>
  <c r="H668" i="1" s="1"/>
  <c r="I669" i="1"/>
  <c r="I668" i="1" s="1"/>
  <c r="G669" i="1"/>
  <c r="G668" i="1" s="1"/>
  <c r="H48" i="1"/>
  <c r="H47" i="1" s="1"/>
  <c r="I48" i="1"/>
  <c r="I47" i="1" s="1"/>
  <c r="G48" i="1"/>
  <c r="G47" i="1" s="1"/>
  <c r="I107" i="1"/>
  <c r="I106" i="1" s="1"/>
  <c r="H107" i="1"/>
  <c r="H106" i="1" s="1"/>
  <c r="I90" i="1" l="1"/>
  <c r="H90" i="1"/>
  <c r="G107" i="1"/>
  <c r="G106" i="1" s="1"/>
  <c r="G90" i="1" s="1"/>
  <c r="F149" i="2"/>
  <c r="F148" i="2" s="1"/>
  <c r="H359" i="1"/>
  <c r="H358" i="1" s="1"/>
  <c r="I359" i="1"/>
  <c r="I358" i="1" s="1"/>
  <c r="G359" i="1"/>
  <c r="G358" i="1" s="1"/>
  <c r="H759" i="1" l="1"/>
  <c r="I759" i="1"/>
  <c r="G759" i="1"/>
  <c r="H262" i="1" l="1"/>
  <c r="H261" i="1" s="1"/>
  <c r="I262" i="1"/>
  <c r="I261" i="1" s="1"/>
  <c r="G262" i="1"/>
  <c r="G261" i="1" s="1"/>
  <c r="H256" i="1"/>
  <c r="H255" i="1" s="1"/>
  <c r="I256" i="1"/>
  <c r="I255" i="1" s="1"/>
  <c r="G256" i="1"/>
  <c r="G255" i="1" s="1"/>
  <c r="H246" i="1" l="1"/>
  <c r="H245" i="1" s="1"/>
  <c r="I246" i="1"/>
  <c r="I245" i="1" s="1"/>
  <c r="G246" i="1"/>
  <c r="G245" i="1" s="1"/>
  <c r="H83" i="1"/>
  <c r="H82" i="1" s="1"/>
  <c r="H81" i="1" s="1"/>
  <c r="I83" i="1"/>
  <c r="I82" i="1" s="1"/>
  <c r="I81" i="1" s="1"/>
  <c r="G83" i="1"/>
  <c r="G82" i="1" s="1"/>
  <c r="G81" i="1" s="1"/>
  <c r="G72" i="1" s="1"/>
  <c r="G71" i="1" s="1"/>
  <c r="F226" i="2"/>
  <c r="F225" i="2" s="1"/>
  <c r="F224" i="2" s="1"/>
  <c r="C226" i="2"/>
  <c r="H698" i="1"/>
  <c r="H697" i="1" s="1"/>
  <c r="H696" i="1" s="1"/>
  <c r="I698" i="1"/>
  <c r="I697" i="1" s="1"/>
  <c r="I696" i="1" s="1"/>
  <c r="G698" i="1"/>
  <c r="G697" i="1" s="1"/>
  <c r="G696" i="1" s="1"/>
  <c r="I72" i="1" l="1"/>
  <c r="I71" i="1" s="1"/>
  <c r="H72" i="1"/>
  <c r="H71" i="1" s="1"/>
  <c r="H695" i="1"/>
  <c r="H694" i="1" s="1"/>
  <c r="H693" i="1" s="1"/>
  <c r="I695" i="1"/>
  <c r="I694" i="1" s="1"/>
  <c r="I693" i="1" s="1"/>
  <c r="G695" i="1"/>
  <c r="G694" i="1" s="1"/>
  <c r="G693" i="1" s="1"/>
  <c r="I170" i="1"/>
  <c r="H170" i="1"/>
  <c r="G170" i="1"/>
  <c r="F77" i="2"/>
  <c r="F76" i="2"/>
  <c r="H666" i="1"/>
  <c r="H665" i="1" s="1"/>
  <c r="I666" i="1"/>
  <c r="I665" i="1" s="1"/>
  <c r="G666" i="1"/>
  <c r="G665" i="1" s="1"/>
  <c r="H663" i="1"/>
  <c r="H662" i="1" s="1"/>
  <c r="I663" i="1"/>
  <c r="I662" i="1" s="1"/>
  <c r="G663" i="1"/>
  <c r="G662" i="1" s="1"/>
  <c r="F60" i="2"/>
  <c r="H653" i="1"/>
  <c r="H652" i="1" s="1"/>
  <c r="I653" i="1"/>
  <c r="I652" i="1" s="1"/>
  <c r="G653" i="1"/>
  <c r="G652" i="1" s="1"/>
  <c r="F209" i="2"/>
  <c r="F208" i="2" s="1"/>
  <c r="H278" i="1"/>
  <c r="H277" i="1" s="1"/>
  <c r="H276" i="1" s="1"/>
  <c r="I278" i="1"/>
  <c r="I277" i="1" s="1"/>
  <c r="I276" i="1" s="1"/>
  <c r="G278" i="1"/>
  <c r="G277" i="1" s="1"/>
  <c r="G276" i="1" s="1"/>
  <c r="H661" i="1" l="1"/>
  <c r="G661" i="1"/>
  <c r="I661" i="1"/>
  <c r="I283" i="1" l="1"/>
  <c r="I282" i="1" s="1"/>
  <c r="I281" i="1" s="1"/>
  <c r="I280" i="1" s="1"/>
  <c r="H283" i="1"/>
  <c r="H282" i="1" s="1"/>
  <c r="H281" i="1" s="1"/>
  <c r="H280" i="1" s="1"/>
  <c r="G283" i="1"/>
  <c r="G282" i="1" s="1"/>
  <c r="G281" i="1" s="1"/>
  <c r="G280" i="1" s="1"/>
  <c r="I214" i="1"/>
  <c r="I213" i="1" s="1"/>
  <c r="H214" i="1"/>
  <c r="H213" i="1" s="1"/>
  <c r="G214" i="1"/>
  <c r="G213" i="1" s="1"/>
  <c r="I211" i="1"/>
  <c r="I210" i="1" s="1"/>
  <c r="H211" i="1"/>
  <c r="H210" i="1" s="1"/>
  <c r="G211" i="1"/>
  <c r="G210" i="1" s="1"/>
  <c r="F176" i="2" l="1"/>
  <c r="F52" i="2"/>
  <c r="H402" i="1"/>
  <c r="I402" i="1"/>
  <c r="H373" i="1"/>
  <c r="I373" i="1"/>
  <c r="G373" i="1"/>
  <c r="H374" i="1"/>
  <c r="I374" i="1"/>
  <c r="G374" i="1"/>
  <c r="H350" i="1"/>
  <c r="I350" i="1"/>
  <c r="G350" i="1"/>
  <c r="H761" i="1" l="1"/>
  <c r="H758" i="1" s="1"/>
  <c r="I761" i="1"/>
  <c r="I758" i="1" s="1"/>
  <c r="G761" i="1"/>
  <c r="G758" i="1" s="1"/>
  <c r="F211" i="2" l="1"/>
  <c r="F210" i="2" s="1"/>
  <c r="C211" i="2"/>
  <c r="F213" i="2"/>
  <c r="F212" i="2" s="1"/>
  <c r="C213" i="2"/>
  <c r="F116" i="2" l="1"/>
  <c r="F71" i="2"/>
  <c r="F57" i="2"/>
  <c r="F50" i="2"/>
  <c r="F47" i="2"/>
  <c r="F46" i="2"/>
  <c r="H222" i="1"/>
  <c r="H221" i="1" s="1"/>
  <c r="H220" i="1" s="1"/>
  <c r="I222" i="1"/>
  <c r="I221" i="1" s="1"/>
  <c r="I220" i="1" s="1"/>
  <c r="G222" i="1"/>
  <c r="G221" i="1" s="1"/>
  <c r="G220" i="1" s="1"/>
  <c r="H551" i="1"/>
  <c r="I551" i="1"/>
  <c r="G551" i="1"/>
  <c r="H186" i="1"/>
  <c r="H185" i="1" s="1"/>
  <c r="I186" i="1"/>
  <c r="I185" i="1" s="1"/>
  <c r="G186" i="1"/>
  <c r="G185" i="1" s="1"/>
  <c r="H330" i="1"/>
  <c r="H329" i="1" s="1"/>
  <c r="H328" i="1" s="1"/>
  <c r="H327" i="1" s="1"/>
  <c r="H326" i="1" s="1"/>
  <c r="I330" i="1"/>
  <c r="I329" i="1" s="1"/>
  <c r="I328" i="1" s="1"/>
  <c r="I327" i="1" s="1"/>
  <c r="I326" i="1" s="1"/>
  <c r="G330" i="1"/>
  <c r="G329" i="1" s="1"/>
  <c r="G328" i="1" s="1"/>
  <c r="G327" i="1" s="1"/>
  <c r="G326" i="1" s="1"/>
  <c r="F45" i="2" l="1"/>
  <c r="G183" i="1"/>
  <c r="G182" i="1" s="1"/>
  <c r="G184" i="1"/>
  <c r="H183" i="1"/>
  <c r="H182" i="1" s="1"/>
  <c r="H184" i="1"/>
  <c r="I183" i="1"/>
  <c r="I182" i="1" s="1"/>
  <c r="I184" i="1"/>
  <c r="H752" i="1"/>
  <c r="I752" i="1"/>
  <c r="G752" i="1"/>
  <c r="F117" i="2" l="1"/>
  <c r="H441" i="1"/>
  <c r="I441" i="1"/>
  <c r="G441" i="1"/>
  <c r="H422" i="1"/>
  <c r="H421" i="1" s="1"/>
  <c r="H420" i="1" s="1"/>
  <c r="I422" i="1"/>
  <c r="I421" i="1" s="1"/>
  <c r="I420" i="1" s="1"/>
  <c r="F146" i="2" l="1"/>
  <c r="H31" i="1"/>
  <c r="I31" i="1"/>
  <c r="G31" i="1"/>
  <c r="F35" i="2"/>
  <c r="H719" i="1"/>
  <c r="I719" i="1"/>
  <c r="G719" i="1"/>
  <c r="F18" i="2"/>
  <c r="H747" i="1"/>
  <c r="I747" i="1"/>
  <c r="G747" i="1"/>
  <c r="F218" i="2" l="1"/>
  <c r="F217" i="2" s="1"/>
  <c r="F123" i="2" l="1"/>
  <c r="F122" i="2"/>
  <c r="F121" i="2"/>
  <c r="F120" i="2"/>
  <c r="F115" i="2"/>
  <c r="F114" i="2"/>
  <c r="F108" i="2"/>
  <c r="F107" i="2" s="1"/>
  <c r="F103" i="2"/>
  <c r="F100" i="2"/>
  <c r="F95" i="2"/>
  <c r="F93" i="2"/>
  <c r="C93" i="2"/>
  <c r="F89" i="2"/>
  <c r="F86" i="2"/>
  <c r="F85" i="2"/>
  <c r="F82" i="2"/>
  <c r="H496" i="1"/>
  <c r="H495" i="1" s="1"/>
  <c r="I496" i="1"/>
  <c r="I495" i="1" s="1"/>
  <c r="G496" i="1"/>
  <c r="G495" i="1" s="1"/>
  <c r="H469" i="1"/>
  <c r="H468" i="1" s="1"/>
  <c r="I469" i="1"/>
  <c r="I468" i="1" s="1"/>
  <c r="G469" i="1"/>
  <c r="F216" i="2"/>
  <c r="F215" i="2"/>
  <c r="F207" i="2"/>
  <c r="F199" i="2"/>
  <c r="F196" i="2" s="1"/>
  <c r="C199" i="2"/>
  <c r="F73" i="2"/>
  <c r="F72" i="2"/>
  <c r="F64" i="2"/>
  <c r="F59" i="2"/>
  <c r="F58" i="2"/>
  <c r="F55" i="2"/>
  <c r="F54" i="2"/>
  <c r="F51" i="2"/>
  <c r="C50" i="2"/>
  <c r="F43" i="2"/>
  <c r="E43" i="2"/>
  <c r="D43" i="2"/>
  <c r="F42" i="2"/>
  <c r="E42" i="2"/>
  <c r="D42" i="2"/>
  <c r="F41" i="2"/>
  <c r="D41" i="2"/>
  <c r="F38" i="2"/>
  <c r="F37" i="2"/>
  <c r="D37" i="2"/>
  <c r="F36" i="2"/>
  <c r="E36" i="2"/>
  <c r="D36" i="2"/>
  <c r="C35" i="2"/>
  <c r="F32" i="2"/>
  <c r="E32" i="2"/>
  <c r="D32" i="2"/>
  <c r="F31" i="2"/>
  <c r="E31" i="2"/>
  <c r="D31" i="2"/>
  <c r="F28" i="2"/>
  <c r="F27" i="2"/>
  <c r="F25" i="2"/>
  <c r="E25" i="2"/>
  <c r="D25" i="2"/>
  <c r="F24" i="2"/>
  <c r="E24" i="2"/>
  <c r="H741" i="1"/>
  <c r="I741" i="1"/>
  <c r="G741" i="1"/>
  <c r="D24" i="2"/>
  <c r="F22" i="2"/>
  <c r="E22" i="2"/>
  <c r="D22" i="2"/>
  <c r="F21" i="2"/>
  <c r="E21" i="2"/>
  <c r="D21" i="2"/>
  <c r="F19" i="2"/>
  <c r="E19" i="2"/>
  <c r="D19" i="2"/>
  <c r="F88" i="2" l="1"/>
  <c r="F63" i="2"/>
  <c r="F34" i="2"/>
  <c r="F113" i="2"/>
  <c r="F49" i="2"/>
  <c r="F56" i="2"/>
  <c r="F30" i="2"/>
  <c r="F23" i="2"/>
  <c r="F17" i="2"/>
  <c r="F214" i="2"/>
  <c r="F44" i="2" l="1"/>
  <c r="F16" i="2"/>
  <c r="H685" i="1" l="1"/>
  <c r="I685" i="1"/>
  <c r="G685" i="1"/>
  <c r="H683" i="1"/>
  <c r="I683" i="1"/>
  <c r="G683" i="1"/>
  <c r="H259" i="1" l="1"/>
  <c r="H258" i="1" s="1"/>
  <c r="H254" i="1" s="1"/>
  <c r="I259" i="1"/>
  <c r="I258" i="1" s="1"/>
  <c r="I254" i="1" s="1"/>
  <c r="G259" i="1"/>
  <c r="G258" i="1" s="1"/>
  <c r="G254" i="1" s="1"/>
  <c r="H235" i="1"/>
  <c r="I235" i="1"/>
  <c r="G235" i="1"/>
  <c r="H167" i="1"/>
  <c r="I167" i="1"/>
  <c r="G167" i="1"/>
  <c r="G463" i="1"/>
  <c r="G462" i="1" s="1"/>
  <c r="H463" i="1"/>
  <c r="H462" i="1" s="1"/>
  <c r="I463" i="1"/>
  <c r="I462" i="1" s="1"/>
  <c r="F175" i="2"/>
  <c r="F174" i="2"/>
  <c r="F145" i="2"/>
  <c r="F144" i="2"/>
  <c r="F141" i="2"/>
  <c r="F140" i="2"/>
  <c r="F173" i="2" l="1"/>
  <c r="F172" i="2" s="1"/>
  <c r="F143" i="2"/>
  <c r="E38" i="2" l="1"/>
  <c r="H439" i="1" l="1"/>
  <c r="I439" i="1"/>
  <c r="G439" i="1"/>
  <c r="H437" i="1"/>
  <c r="I437" i="1"/>
  <c r="G437" i="1"/>
  <c r="G422" i="1"/>
  <c r="G421" i="1" s="1"/>
  <c r="G420" i="1" s="1"/>
  <c r="G436" i="1" l="1"/>
  <c r="G435" i="1" s="1"/>
  <c r="H436" i="1"/>
  <c r="H435" i="1" s="1"/>
  <c r="G419" i="1"/>
  <c r="G418" i="1" s="1"/>
  <c r="I436" i="1"/>
  <c r="I435" i="1" s="1"/>
  <c r="I419" i="1"/>
  <c r="I418" i="1" s="1"/>
  <c r="H419" i="1"/>
  <c r="H418" i="1" s="1"/>
  <c r="C122" i="2"/>
  <c r="C120" i="2"/>
  <c r="C114" i="2"/>
  <c r="C108" i="2"/>
  <c r="C103" i="2"/>
  <c r="C100" i="2"/>
  <c r="C95" i="2"/>
  <c r="C89" i="2"/>
  <c r="C86" i="2"/>
  <c r="C85" i="2"/>
  <c r="C84" i="2"/>
  <c r="C82" i="2"/>
  <c r="H572" i="1"/>
  <c r="H569" i="1" s="1"/>
  <c r="I572" i="1"/>
  <c r="I569" i="1" s="1"/>
  <c r="G572" i="1"/>
  <c r="H563" i="1"/>
  <c r="I563" i="1"/>
  <c r="G563" i="1"/>
  <c r="H561" i="1"/>
  <c r="I561" i="1"/>
  <c r="G561" i="1"/>
  <c r="H547" i="1"/>
  <c r="I547" i="1"/>
  <c r="G547" i="1"/>
  <c r="H549" i="1"/>
  <c r="I549" i="1"/>
  <c r="G549" i="1"/>
  <c r="H529" i="1"/>
  <c r="H528" i="1" s="1"/>
  <c r="H527" i="1" s="1"/>
  <c r="H522" i="1" s="1"/>
  <c r="I529" i="1"/>
  <c r="I528" i="1" s="1"/>
  <c r="I527" i="1" s="1"/>
  <c r="I522" i="1" s="1"/>
  <c r="G529" i="1"/>
  <c r="G528" i="1" s="1"/>
  <c r="G527" i="1" s="1"/>
  <c r="H508" i="1"/>
  <c r="H507" i="1" s="1"/>
  <c r="I508" i="1"/>
  <c r="I507" i="1" s="1"/>
  <c r="G508" i="1"/>
  <c r="G507" i="1" s="1"/>
  <c r="H499" i="1"/>
  <c r="H498" i="1" s="1"/>
  <c r="I499" i="1"/>
  <c r="I498" i="1" s="1"/>
  <c r="G499" i="1"/>
  <c r="G498" i="1" s="1"/>
  <c r="H484" i="1"/>
  <c r="H483" i="1" s="1"/>
  <c r="I484" i="1"/>
  <c r="I483" i="1" s="1"/>
  <c r="G484" i="1"/>
  <c r="G483" i="1" s="1"/>
  <c r="H475" i="1"/>
  <c r="H474" i="1" s="1"/>
  <c r="I475" i="1"/>
  <c r="I474" i="1" s="1"/>
  <c r="G475" i="1"/>
  <c r="G474" i="1" s="1"/>
  <c r="H472" i="1"/>
  <c r="H471" i="1" s="1"/>
  <c r="I472" i="1"/>
  <c r="I471" i="1" s="1"/>
  <c r="G472" i="1"/>
  <c r="G471" i="1" s="1"/>
  <c r="G468" i="1"/>
  <c r="H171" i="1"/>
  <c r="I171" i="1"/>
  <c r="G171" i="1"/>
  <c r="G482" i="1" l="1"/>
  <c r="H482" i="1"/>
  <c r="H481" i="1" s="1"/>
  <c r="H480" i="1" s="1"/>
  <c r="I482" i="1"/>
  <c r="G461" i="1"/>
  <c r="G460" i="1" s="1"/>
  <c r="G459" i="1" s="1"/>
  <c r="G481" i="1"/>
  <c r="G480" i="1" s="1"/>
  <c r="G522" i="1"/>
  <c r="H560" i="1"/>
  <c r="I560" i="1"/>
  <c r="G560" i="1"/>
  <c r="I481" i="1"/>
  <c r="I480" i="1" s="1"/>
  <c r="H461" i="1"/>
  <c r="H460" i="1" s="1"/>
  <c r="H459" i="1" s="1"/>
  <c r="G569" i="1"/>
  <c r="G568" i="1" s="1"/>
  <c r="G567" i="1" s="1"/>
  <c r="G566" i="1" s="1"/>
  <c r="G565" i="1" s="1"/>
  <c r="I461" i="1"/>
  <c r="I460" i="1" s="1"/>
  <c r="I459" i="1" s="1"/>
  <c r="H546" i="1"/>
  <c r="I546" i="1"/>
  <c r="G546" i="1"/>
  <c r="F84" i="2"/>
  <c r="F81" i="2" s="1"/>
  <c r="I568" i="1"/>
  <c r="I567" i="1" s="1"/>
  <c r="I566" i="1" s="1"/>
  <c r="I565" i="1" s="1"/>
  <c r="H568" i="1"/>
  <c r="H567" i="1" s="1"/>
  <c r="H566" i="1" s="1"/>
  <c r="H565" i="1" s="1"/>
  <c r="H545" i="1" l="1"/>
  <c r="H544" i="1" s="1"/>
  <c r="H543" i="1" s="1"/>
  <c r="H458" i="1" s="1"/>
  <c r="H457" i="1" s="1"/>
  <c r="G545" i="1"/>
  <c r="G544" i="1" s="1"/>
  <c r="G543" i="1" s="1"/>
  <c r="G458" i="1" s="1"/>
  <c r="I545" i="1"/>
  <c r="I544" i="1" s="1"/>
  <c r="I543" i="1" s="1"/>
  <c r="I458" i="1" s="1"/>
  <c r="I457" i="1" s="1"/>
  <c r="F80" i="2"/>
  <c r="F206" i="2"/>
  <c r="F202" i="2" s="1"/>
  <c r="C207" i="2"/>
  <c r="H324" i="1"/>
  <c r="H323" i="1" s="1"/>
  <c r="I324" i="1"/>
  <c r="I323" i="1" s="1"/>
  <c r="G324" i="1"/>
  <c r="G323" i="1" s="1"/>
  <c r="H155" i="1"/>
  <c r="H154" i="1" s="1"/>
  <c r="H151" i="1" s="1"/>
  <c r="I155" i="1"/>
  <c r="I154" i="1" s="1"/>
  <c r="I151" i="1" s="1"/>
  <c r="G155" i="1"/>
  <c r="G154" i="1" s="1"/>
  <c r="H803" i="1"/>
  <c r="I803" i="1"/>
  <c r="G803" i="1"/>
  <c r="H801" i="1"/>
  <c r="I801" i="1"/>
  <c r="G801" i="1"/>
  <c r="H808" i="1"/>
  <c r="H807" i="1" s="1"/>
  <c r="I808" i="1"/>
  <c r="I807" i="1" s="1"/>
  <c r="G808" i="1"/>
  <c r="G807" i="1" s="1"/>
  <c r="G153" i="1" l="1"/>
  <c r="G152" i="1" s="1"/>
  <c r="G151" i="1" s="1"/>
  <c r="G800" i="1"/>
  <c r="G799" i="1" s="1"/>
  <c r="G798" i="1" s="1"/>
  <c r="H800" i="1"/>
  <c r="H799" i="1" s="1"/>
  <c r="I800" i="1"/>
  <c r="I799" i="1" s="1"/>
  <c r="H153" i="1"/>
  <c r="H152" i="1" s="1"/>
  <c r="I153" i="1"/>
  <c r="I152" i="1" s="1"/>
  <c r="G322" i="1"/>
  <c r="G321" i="1" s="1"/>
  <c r="G320" i="1" s="1"/>
  <c r="G319" i="1" s="1"/>
  <c r="I322" i="1"/>
  <c r="I321" i="1" s="1"/>
  <c r="I320" i="1" s="1"/>
  <c r="I319" i="1" s="1"/>
  <c r="H322" i="1"/>
  <c r="H321" i="1" s="1"/>
  <c r="H320" i="1" s="1"/>
  <c r="H319" i="1" s="1"/>
  <c r="G457" i="1"/>
  <c r="E27" i="2"/>
  <c r="C26" i="2"/>
  <c r="G797" i="1" l="1"/>
  <c r="G796" i="1" s="1"/>
  <c r="G795" i="1" s="1"/>
  <c r="H798" i="1"/>
  <c r="H797" i="1" s="1"/>
  <c r="I798" i="1"/>
  <c r="I797" i="1" s="1"/>
  <c r="I796" i="1" s="1"/>
  <c r="I795" i="1" s="1"/>
  <c r="C215" i="2"/>
  <c r="C193" i="2"/>
  <c r="F189" i="2"/>
  <c r="F188" i="2" s="1"/>
  <c r="C189" i="2"/>
  <c r="F186" i="2"/>
  <c r="F184" i="2" s="1"/>
  <c r="C174" i="2"/>
  <c r="F171" i="2"/>
  <c r="C171" i="2"/>
  <c r="F170" i="2"/>
  <c r="C170" i="2"/>
  <c r="C144" i="2"/>
  <c r="F142" i="2"/>
  <c r="C142" i="2"/>
  <c r="C141" i="2"/>
  <c r="C140" i="2"/>
  <c r="H796" i="1" l="1"/>
  <c r="H795" i="1" s="1"/>
  <c r="F183" i="2"/>
  <c r="F139" i="2"/>
  <c r="F169" i="2"/>
  <c r="F163" i="2" s="1"/>
  <c r="C64" i="2"/>
  <c r="C71" i="2"/>
  <c r="C59" i="2"/>
  <c r="C58" i="2"/>
  <c r="C57" i="2"/>
  <c r="C54" i="2"/>
  <c r="F138" i="2" l="1"/>
  <c r="C47" i="2"/>
  <c r="C46" i="2"/>
  <c r="C45" i="2"/>
  <c r="C44" i="2"/>
  <c r="E41" i="2"/>
  <c r="C41" i="2"/>
  <c r="E37" i="2"/>
  <c r="C37" i="2"/>
  <c r="C34" i="2"/>
  <c r="C32" i="2"/>
  <c r="C31" i="2"/>
  <c r="C24" i="2"/>
  <c r="C23" i="2"/>
  <c r="C20" i="2"/>
  <c r="C18" i="2"/>
  <c r="C17" i="2"/>
  <c r="C16" i="2"/>
  <c r="H730" i="1"/>
  <c r="H729" i="1" s="1"/>
  <c r="I730" i="1"/>
  <c r="I729" i="1" s="1"/>
  <c r="G730" i="1"/>
  <c r="G729" i="1" s="1"/>
  <c r="H757" i="1" l="1"/>
  <c r="I757" i="1"/>
  <c r="G757" i="1"/>
  <c r="H749" i="1"/>
  <c r="H746" i="1" s="1"/>
  <c r="I749" i="1"/>
  <c r="I746" i="1" s="1"/>
  <c r="G749" i="1"/>
  <c r="G746" i="1" s="1"/>
  <c r="H768" i="1"/>
  <c r="I768" i="1"/>
  <c r="G768" i="1"/>
  <c r="H766" i="1"/>
  <c r="I766" i="1"/>
  <c r="G766" i="1"/>
  <c r="H778" i="1"/>
  <c r="I778" i="1"/>
  <c r="G778" i="1"/>
  <c r="H776" i="1"/>
  <c r="I776" i="1"/>
  <c r="G776" i="1"/>
  <c r="H774" i="1"/>
  <c r="I774" i="1"/>
  <c r="G774" i="1"/>
  <c r="H739" i="1"/>
  <c r="H738" i="1" s="1"/>
  <c r="I739" i="1"/>
  <c r="I738" i="1" s="1"/>
  <c r="G739" i="1"/>
  <c r="G738" i="1" s="1"/>
  <c r="H765" i="1" l="1"/>
  <c r="G765" i="1"/>
  <c r="H754" i="1"/>
  <c r="I765" i="1"/>
  <c r="G754" i="1"/>
  <c r="G751" i="1" s="1"/>
  <c r="G773" i="1"/>
  <c r="G764" i="1" s="1"/>
  <c r="H773" i="1"/>
  <c r="I754" i="1"/>
  <c r="I773" i="1"/>
  <c r="I737" i="1"/>
  <c r="I736" i="1" s="1"/>
  <c r="I735" i="1" s="1"/>
  <c r="H737" i="1"/>
  <c r="H736" i="1" s="1"/>
  <c r="H735" i="1" s="1"/>
  <c r="G737" i="1"/>
  <c r="G736" i="1" s="1"/>
  <c r="I764" i="1" l="1"/>
  <c r="H764" i="1"/>
  <c r="I751" i="1"/>
  <c r="H751" i="1"/>
  <c r="G745" i="1"/>
  <c r="G735" i="1"/>
  <c r="I745" i="1" l="1"/>
  <c r="I744" i="1" s="1"/>
  <c r="H745" i="1"/>
  <c r="H744" i="1" s="1"/>
  <c r="G744" i="1"/>
  <c r="H727" i="1"/>
  <c r="H726" i="1" s="1"/>
  <c r="H725" i="1" s="1"/>
  <c r="I727" i="1"/>
  <c r="I726" i="1" s="1"/>
  <c r="I725" i="1" s="1"/>
  <c r="G727" i="1"/>
  <c r="G726" i="1" s="1"/>
  <c r="G725" i="1" s="1"/>
  <c r="H721" i="1"/>
  <c r="I721" i="1"/>
  <c r="G721" i="1"/>
  <c r="I743" i="1" l="1"/>
  <c r="H743" i="1"/>
  <c r="G743" i="1"/>
  <c r="G718" i="1"/>
  <c r="G717" i="1" s="1"/>
  <c r="G716" i="1" s="1"/>
  <c r="G715" i="1" s="1"/>
  <c r="H718" i="1"/>
  <c r="H717" i="1" s="1"/>
  <c r="H716" i="1" s="1"/>
  <c r="H715" i="1" s="1"/>
  <c r="I718" i="1"/>
  <c r="I717" i="1" s="1"/>
  <c r="I716" i="1" s="1"/>
  <c r="I715" i="1" s="1"/>
  <c r="G724" i="1"/>
  <c r="G723" i="1" s="1"/>
  <c r="I724" i="1"/>
  <c r="I723" i="1" s="1"/>
  <c r="H724" i="1"/>
  <c r="H723" i="1" s="1"/>
  <c r="H610" i="1"/>
  <c r="H609" i="1" s="1"/>
  <c r="I610" i="1"/>
  <c r="I609" i="1" s="1"/>
  <c r="G610" i="1"/>
  <c r="G609" i="1" s="1"/>
  <c r="H607" i="1"/>
  <c r="H606" i="1" s="1"/>
  <c r="I607" i="1"/>
  <c r="I606" i="1" s="1"/>
  <c r="G607" i="1"/>
  <c r="G606" i="1" s="1"/>
  <c r="H400" i="1"/>
  <c r="I400" i="1"/>
  <c r="G400" i="1"/>
  <c r="H398" i="1"/>
  <c r="I398" i="1"/>
  <c r="G398" i="1"/>
  <c r="H390" i="1"/>
  <c r="H389" i="1" s="1"/>
  <c r="I390" i="1"/>
  <c r="I389" i="1" s="1"/>
  <c r="G390" i="1"/>
  <c r="G389" i="1" s="1"/>
  <c r="H788" i="1"/>
  <c r="I788" i="1"/>
  <c r="G788" i="1"/>
  <c r="H786" i="1"/>
  <c r="I786" i="1"/>
  <c r="G786" i="1"/>
  <c r="H348" i="1"/>
  <c r="I348" i="1"/>
  <c r="G348" i="1"/>
  <c r="H346" i="1"/>
  <c r="I346" i="1"/>
  <c r="G346" i="1"/>
  <c r="H681" i="1"/>
  <c r="H680" i="1" s="1"/>
  <c r="I681" i="1"/>
  <c r="I680" i="1" s="1"/>
  <c r="G681" i="1"/>
  <c r="G680" i="1" s="1"/>
  <c r="G679" i="1" s="1"/>
  <c r="H650" i="1"/>
  <c r="H649" i="1" s="1"/>
  <c r="I650" i="1"/>
  <c r="I649" i="1" s="1"/>
  <c r="G650" i="1"/>
  <c r="G649" i="1" s="1"/>
  <c r="H647" i="1"/>
  <c r="H646" i="1" s="1"/>
  <c r="I647" i="1"/>
  <c r="I646" i="1" s="1"/>
  <c r="G647" i="1"/>
  <c r="G646" i="1" s="1"/>
  <c r="H598" i="1"/>
  <c r="H597" i="1" s="1"/>
  <c r="I598" i="1"/>
  <c r="I597" i="1" s="1"/>
  <c r="G598" i="1"/>
  <c r="G597" i="1" s="1"/>
  <c r="G596" i="1" s="1"/>
  <c r="G785" i="1" l="1"/>
  <c r="G784" i="1" s="1"/>
  <c r="G783" i="1" s="1"/>
  <c r="H345" i="1"/>
  <c r="I345" i="1"/>
  <c r="H397" i="1"/>
  <c r="I397" i="1"/>
  <c r="G678" i="1"/>
  <c r="H596" i="1"/>
  <c r="H595" i="1" s="1"/>
  <c r="H594" i="1" s="1"/>
  <c r="I596" i="1"/>
  <c r="I595" i="1" s="1"/>
  <c r="I594" i="1" s="1"/>
  <c r="G345" i="1"/>
  <c r="G344" i="1" s="1"/>
  <c r="H785" i="1"/>
  <c r="H784" i="1" s="1"/>
  <c r="H783" i="1" s="1"/>
  <c r="I785" i="1"/>
  <c r="I784" i="1" s="1"/>
  <c r="I783" i="1" s="1"/>
  <c r="G714" i="1"/>
  <c r="G713" i="1" s="1"/>
  <c r="H714" i="1"/>
  <c r="H713" i="1" s="1"/>
  <c r="I714" i="1"/>
  <c r="I713" i="1" s="1"/>
  <c r="G388" i="1"/>
  <c r="G387" i="1" s="1"/>
  <c r="G386" i="1" s="1"/>
  <c r="G385" i="1" s="1"/>
  <c r="G384" i="1" s="1"/>
  <c r="G397" i="1"/>
  <c r="G396" i="1" s="1"/>
  <c r="H679" i="1"/>
  <c r="H678" i="1" s="1"/>
  <c r="I679" i="1"/>
  <c r="I678" i="1" s="1"/>
  <c r="I388" i="1"/>
  <c r="I387" i="1" s="1"/>
  <c r="I386" i="1" s="1"/>
  <c r="I385" i="1" s="1"/>
  <c r="I384" i="1" s="1"/>
  <c r="H388" i="1"/>
  <c r="H387" i="1" s="1"/>
  <c r="H386" i="1" s="1"/>
  <c r="H385" i="1" s="1"/>
  <c r="H384" i="1" s="1"/>
  <c r="H344" i="1" l="1"/>
  <c r="H343" i="1" s="1"/>
  <c r="H342" i="1" s="1"/>
  <c r="I344" i="1"/>
  <c r="I343" i="1" s="1"/>
  <c r="I342" i="1" s="1"/>
  <c r="I396" i="1"/>
  <c r="I395" i="1" s="1"/>
  <c r="I394" i="1" s="1"/>
  <c r="I393" i="1" s="1"/>
  <c r="H396" i="1"/>
  <c r="H395" i="1" s="1"/>
  <c r="H394" i="1" s="1"/>
  <c r="H393" i="1" s="1"/>
  <c r="G595" i="1"/>
  <c r="G594" i="1" s="1"/>
  <c r="G343" i="1"/>
  <c r="G342" i="1" s="1"/>
  <c r="I782" i="1"/>
  <c r="I781" i="1" s="1"/>
  <c r="I780" i="1" s="1"/>
  <c r="H782" i="1"/>
  <c r="H781" i="1" s="1"/>
  <c r="H780" i="1" s="1"/>
  <c r="G782" i="1"/>
  <c r="G781" i="1" s="1"/>
  <c r="G780" i="1" s="1"/>
  <c r="G395" i="1"/>
  <c r="G394" i="1" s="1"/>
  <c r="G677" i="1"/>
  <c r="I677" i="1"/>
  <c r="H677" i="1"/>
  <c r="H637" i="1"/>
  <c r="H636" i="1" s="1"/>
  <c r="I637" i="1"/>
  <c r="I636" i="1" s="1"/>
  <c r="G637" i="1"/>
  <c r="G636" i="1" s="1"/>
  <c r="H644" i="1"/>
  <c r="H643" i="1" s="1"/>
  <c r="H642" i="1" s="1"/>
  <c r="I644" i="1"/>
  <c r="I643" i="1" s="1"/>
  <c r="I642" i="1" s="1"/>
  <c r="G644" i="1"/>
  <c r="G643" i="1" s="1"/>
  <c r="G642" i="1" s="1"/>
  <c r="H634" i="1"/>
  <c r="H633" i="1" s="1"/>
  <c r="I634" i="1"/>
  <c r="I633" i="1" s="1"/>
  <c r="G634" i="1"/>
  <c r="G633" i="1" s="1"/>
  <c r="H580" i="1"/>
  <c r="H579" i="1" s="1"/>
  <c r="I580" i="1"/>
  <c r="I579" i="1" s="1"/>
  <c r="G580" i="1"/>
  <c r="G579" i="1" s="1"/>
  <c r="G578" i="1" s="1"/>
  <c r="H380" i="1"/>
  <c r="I380" i="1"/>
  <c r="G380" i="1"/>
  <c r="H382" i="1"/>
  <c r="I382" i="1"/>
  <c r="G382" i="1"/>
  <c r="H370" i="1"/>
  <c r="I370" i="1"/>
  <c r="G370" i="1"/>
  <c r="H372" i="1"/>
  <c r="I372" i="1"/>
  <c r="G372" i="1"/>
  <c r="H315" i="1"/>
  <c r="I315" i="1"/>
  <c r="G315" i="1"/>
  <c r="H317" i="1"/>
  <c r="I317" i="1"/>
  <c r="G317" i="1"/>
  <c r="H299" i="1"/>
  <c r="H298" i="1" s="1"/>
  <c r="I299" i="1"/>
  <c r="I298" i="1" s="1"/>
  <c r="G299" i="1"/>
  <c r="G298" i="1" s="1"/>
  <c r="H296" i="1"/>
  <c r="H295" i="1" s="1"/>
  <c r="I296" i="1"/>
  <c r="I295" i="1" s="1"/>
  <c r="G296" i="1"/>
  <c r="G295" i="1" s="1"/>
  <c r="H274" i="1"/>
  <c r="H273" i="1" s="1"/>
  <c r="H269" i="1" s="1"/>
  <c r="H268" i="1" s="1"/>
  <c r="H267" i="1" s="1"/>
  <c r="I274" i="1"/>
  <c r="I273" i="1" s="1"/>
  <c r="I269" i="1" s="1"/>
  <c r="I268" i="1" s="1"/>
  <c r="I267" i="1" s="1"/>
  <c r="G274" i="1"/>
  <c r="G273" i="1" s="1"/>
  <c r="H252" i="1"/>
  <c r="H251" i="1" s="1"/>
  <c r="I252" i="1"/>
  <c r="I251" i="1" s="1"/>
  <c r="G252" i="1"/>
  <c r="G251" i="1" s="1"/>
  <c r="H243" i="1"/>
  <c r="H242" i="1" s="1"/>
  <c r="I243" i="1"/>
  <c r="I242" i="1" s="1"/>
  <c r="G243" i="1"/>
  <c r="G242" i="1" s="1"/>
  <c r="H237" i="1"/>
  <c r="H234" i="1" s="1"/>
  <c r="I237" i="1"/>
  <c r="I234" i="1" s="1"/>
  <c r="G237" i="1"/>
  <c r="G234" i="1" s="1"/>
  <c r="H226" i="1"/>
  <c r="I226" i="1"/>
  <c r="G226" i="1"/>
  <c r="H228" i="1"/>
  <c r="I228" i="1"/>
  <c r="G228" i="1"/>
  <c r="H341" i="1" l="1"/>
  <c r="H340" i="1" s="1"/>
  <c r="I341" i="1"/>
  <c r="I340" i="1" s="1"/>
  <c r="I578" i="1"/>
  <c r="I577" i="1" s="1"/>
  <c r="I576" i="1" s="1"/>
  <c r="H578" i="1"/>
  <c r="H577" i="1" s="1"/>
  <c r="H576" i="1" s="1"/>
  <c r="G269" i="1"/>
  <c r="G268" i="1" s="1"/>
  <c r="G267" i="1" s="1"/>
  <c r="G632" i="1"/>
  <c r="G631" i="1" s="1"/>
  <c r="G577" i="1"/>
  <c r="G576" i="1" s="1"/>
  <c r="G341" i="1"/>
  <c r="G340" i="1" s="1"/>
  <c r="H369" i="1"/>
  <c r="I369" i="1"/>
  <c r="G241" i="1"/>
  <c r="G240" i="1" s="1"/>
  <c r="G239" i="1" s="1"/>
  <c r="H241" i="1"/>
  <c r="H240" i="1" s="1"/>
  <c r="H239" i="1" s="1"/>
  <c r="I241" i="1"/>
  <c r="I240" i="1" s="1"/>
  <c r="I239" i="1" s="1"/>
  <c r="I392" i="1"/>
  <c r="H392" i="1"/>
  <c r="G393" i="1"/>
  <c r="G392" i="1" s="1"/>
  <c r="G369" i="1"/>
  <c r="I632" i="1"/>
  <c r="I631" i="1" s="1"/>
  <c r="H632" i="1"/>
  <c r="H631" i="1" s="1"/>
  <c r="H250" i="1"/>
  <c r="H249" i="1" s="1"/>
  <c r="H248" i="1" s="1"/>
  <c r="I250" i="1"/>
  <c r="I249" i="1" s="1"/>
  <c r="I248" i="1" s="1"/>
  <c r="G250" i="1"/>
  <c r="G249" i="1" s="1"/>
  <c r="G248" i="1" s="1"/>
  <c r="F193" i="2"/>
  <c r="G294" i="1"/>
  <c r="G293" i="1" s="1"/>
  <c r="G292" i="1" s="1"/>
  <c r="G314" i="1"/>
  <c r="I294" i="1"/>
  <c r="I293" i="1" s="1"/>
  <c r="I292" i="1" s="1"/>
  <c r="I285" i="1" s="1"/>
  <c r="H314" i="1"/>
  <c r="I314" i="1"/>
  <c r="H379" i="1"/>
  <c r="I379" i="1"/>
  <c r="G379" i="1"/>
  <c r="G368" i="1" s="1"/>
  <c r="G225" i="1"/>
  <c r="H294" i="1"/>
  <c r="H293" i="1" s="1"/>
  <c r="H292" i="1" s="1"/>
  <c r="H285" i="1" s="1"/>
  <c r="H225" i="1"/>
  <c r="I225" i="1"/>
  <c r="H455" i="1"/>
  <c r="H454" i="1" s="1"/>
  <c r="I455" i="1"/>
  <c r="I454" i="1" s="1"/>
  <c r="G455" i="1"/>
  <c r="G454" i="1" s="1"/>
  <c r="H452" i="1"/>
  <c r="H451" i="1" s="1"/>
  <c r="I452" i="1"/>
  <c r="I451" i="1" s="1"/>
  <c r="G452" i="1"/>
  <c r="G451" i="1" s="1"/>
  <c r="H208" i="1"/>
  <c r="H207" i="1" s="1"/>
  <c r="I208" i="1"/>
  <c r="I207" i="1" s="1"/>
  <c r="G208" i="1"/>
  <c r="G207" i="1" s="1"/>
  <c r="H200" i="1"/>
  <c r="I200" i="1"/>
  <c r="G200" i="1"/>
  <c r="H198" i="1"/>
  <c r="I198" i="1"/>
  <c r="G198" i="1"/>
  <c r="H192" i="1"/>
  <c r="H191" i="1" s="1"/>
  <c r="I192" i="1"/>
  <c r="I191" i="1" s="1"/>
  <c r="G192" i="1"/>
  <c r="G191" i="1" s="1"/>
  <c r="H203" i="1"/>
  <c r="I203" i="1"/>
  <c r="H205" i="1"/>
  <c r="I205" i="1"/>
  <c r="G203" i="1"/>
  <c r="G205" i="1"/>
  <c r="H169" i="1"/>
  <c r="H166" i="1" s="1"/>
  <c r="H165" i="1" s="1"/>
  <c r="I169" i="1"/>
  <c r="I166" i="1" s="1"/>
  <c r="I165" i="1" s="1"/>
  <c r="G169" i="1"/>
  <c r="G166" i="1" s="1"/>
  <c r="G165" i="1" s="1"/>
  <c r="H142" i="1"/>
  <c r="H141" i="1" s="1"/>
  <c r="H140" i="1" s="1"/>
  <c r="H139" i="1" s="1"/>
  <c r="I142" i="1"/>
  <c r="I141" i="1" s="1"/>
  <c r="I140" i="1" s="1"/>
  <c r="I139" i="1" s="1"/>
  <c r="G142" i="1"/>
  <c r="G141" i="1" s="1"/>
  <c r="G140" i="1" s="1"/>
  <c r="G139" i="1" s="1"/>
  <c r="H136" i="1"/>
  <c r="H135" i="1" s="1"/>
  <c r="I136" i="1"/>
  <c r="I135" i="1" s="1"/>
  <c r="G136" i="1"/>
  <c r="G135" i="1" s="1"/>
  <c r="H133" i="1"/>
  <c r="H132" i="1" s="1"/>
  <c r="I133" i="1"/>
  <c r="I132" i="1" s="1"/>
  <c r="G133" i="1"/>
  <c r="G132" i="1" s="1"/>
  <c r="H69" i="1"/>
  <c r="H68" i="1" s="1"/>
  <c r="H67" i="1" s="1"/>
  <c r="I69" i="1"/>
  <c r="I68" i="1" s="1"/>
  <c r="I67" i="1" s="1"/>
  <c r="G69" i="1"/>
  <c r="G68" i="1" s="1"/>
  <c r="G67" i="1" s="1"/>
  <c r="H55" i="1"/>
  <c r="H54" i="1" s="1"/>
  <c r="H53" i="1" s="1"/>
  <c r="I55" i="1"/>
  <c r="I54" i="1" s="1"/>
  <c r="I53" i="1" s="1"/>
  <c r="G55" i="1"/>
  <c r="G54" i="1" s="1"/>
  <c r="G53" i="1" s="1"/>
  <c r="H29" i="1"/>
  <c r="I29" i="1"/>
  <c r="G29" i="1"/>
  <c r="H27" i="1"/>
  <c r="I27" i="1"/>
  <c r="G27" i="1"/>
  <c r="G285" i="1" l="1"/>
  <c r="H368" i="1"/>
  <c r="I368" i="1"/>
  <c r="H164" i="1"/>
  <c r="H163" i="1" s="1"/>
  <c r="I164" i="1"/>
  <c r="I163" i="1" s="1"/>
  <c r="G138" i="1"/>
  <c r="H138" i="1"/>
  <c r="I138" i="1"/>
  <c r="I450" i="1"/>
  <c r="I449" i="1" s="1"/>
  <c r="H450" i="1"/>
  <c r="H449" i="1" s="1"/>
  <c r="F191" i="2"/>
  <c r="F187" i="2" s="1"/>
  <c r="F232" i="2" s="1"/>
  <c r="G164" i="1"/>
  <c r="G163" i="1" s="1"/>
  <c r="H189" i="1"/>
  <c r="H188" i="1" s="1"/>
  <c r="H190" i="1"/>
  <c r="G189" i="1"/>
  <c r="G188" i="1" s="1"/>
  <c r="G190" i="1"/>
  <c r="I189" i="1"/>
  <c r="I188" i="1" s="1"/>
  <c r="I190" i="1"/>
  <c r="G450" i="1"/>
  <c r="G449" i="1" s="1"/>
  <c r="G434" i="1" s="1"/>
  <c r="G433" i="1" s="1"/>
  <c r="G630" i="1"/>
  <c r="G575" i="1"/>
  <c r="H575" i="1"/>
  <c r="H131" i="1"/>
  <c r="H130" i="1" s="1"/>
  <c r="H129" i="1" s="1"/>
  <c r="I131" i="1"/>
  <c r="I130" i="1" s="1"/>
  <c r="I129" i="1" s="1"/>
  <c r="G26" i="1"/>
  <c r="G131" i="1"/>
  <c r="G130" i="1" s="1"/>
  <c r="G129" i="1" s="1"/>
  <c r="H26" i="1"/>
  <c r="H22" i="1" s="1"/>
  <c r="H21" i="1" s="1"/>
  <c r="H20" i="1" s="1"/>
  <c r="I26" i="1"/>
  <c r="I22" i="1" s="1"/>
  <c r="I21" i="1" s="1"/>
  <c r="I20" i="1" s="1"/>
  <c r="I575" i="1"/>
  <c r="H434" i="1"/>
  <c r="H433" i="1" s="1"/>
  <c r="I434" i="1"/>
  <c r="I433" i="1" s="1"/>
  <c r="I417" i="1"/>
  <c r="I416" i="1" s="1"/>
  <c r="G417" i="1"/>
  <c r="G416" i="1" s="1"/>
  <c r="H417" i="1"/>
  <c r="H416" i="1" s="1"/>
  <c r="I224" i="1"/>
  <c r="I219" i="1" s="1"/>
  <c r="H233" i="1"/>
  <c r="H232" i="1" s="1"/>
  <c r="H231" i="1" s="1"/>
  <c r="H230" i="1" s="1"/>
  <c r="I233" i="1"/>
  <c r="I232" i="1" s="1"/>
  <c r="I231" i="1" s="1"/>
  <c r="I230" i="1" s="1"/>
  <c r="H313" i="1"/>
  <c r="H312" i="1" s="1"/>
  <c r="H302" i="1" s="1"/>
  <c r="H224" i="1"/>
  <c r="H219" i="1" s="1"/>
  <c r="I313" i="1"/>
  <c r="I312" i="1" s="1"/>
  <c r="I302" i="1" s="1"/>
  <c r="G224" i="1"/>
  <c r="G219" i="1" s="1"/>
  <c r="G313" i="1"/>
  <c r="G312" i="1" s="1"/>
  <c r="G311" i="1" s="1"/>
  <c r="G233" i="1"/>
  <c r="G232" i="1" s="1"/>
  <c r="G231" i="1" s="1"/>
  <c r="G230" i="1" s="1"/>
  <c r="I630" i="1"/>
  <c r="G52" i="1"/>
  <c r="H630" i="1"/>
  <c r="H367" i="1"/>
  <c r="H366" i="1" s="1"/>
  <c r="H365" i="1" s="1"/>
  <c r="H364" i="1" s="1"/>
  <c r="I367" i="1"/>
  <c r="I366" i="1" s="1"/>
  <c r="I365" i="1" s="1"/>
  <c r="I364" i="1" s="1"/>
  <c r="G367" i="1"/>
  <c r="G366" i="1" s="1"/>
  <c r="G365" i="1" s="1"/>
  <c r="G364" i="1" s="1"/>
  <c r="G197" i="1"/>
  <c r="H197" i="1"/>
  <c r="I197" i="1"/>
  <c r="H66" i="1"/>
  <c r="I202" i="1"/>
  <c r="H202" i="1"/>
  <c r="G202" i="1"/>
  <c r="I66" i="1"/>
  <c r="I65" i="1" s="1"/>
  <c r="G66" i="1"/>
  <c r="G65" i="1" s="1"/>
  <c r="G51" i="1"/>
  <c r="H52" i="1"/>
  <c r="H51" i="1"/>
  <c r="I52" i="1"/>
  <c r="I51" i="1"/>
  <c r="I196" i="1" l="1"/>
  <c r="G196" i="1"/>
  <c r="G195" i="1" s="1"/>
  <c r="G194" i="1" s="1"/>
  <c r="H196" i="1"/>
  <c r="H195" i="1" s="1"/>
  <c r="H194" i="1" s="1"/>
  <c r="G128" i="1"/>
  <c r="I128" i="1"/>
  <c r="H128" i="1"/>
  <c r="G301" i="1"/>
  <c r="G22" i="1"/>
  <c r="G21" i="1" s="1"/>
  <c r="I195" i="1"/>
  <c r="I194" i="1" s="1"/>
  <c r="I64" i="1"/>
  <c r="G64" i="1"/>
  <c r="G629" i="1"/>
  <c r="G574" i="1" s="1"/>
  <c r="I432" i="1"/>
  <c r="I431" i="1" s="1"/>
  <c r="G432" i="1"/>
  <c r="G431" i="1" s="1"/>
  <c r="H432" i="1"/>
  <c r="H431" i="1" s="1"/>
  <c r="H301" i="1"/>
  <c r="I301" i="1"/>
  <c r="H629" i="1"/>
  <c r="H574" i="1" s="1"/>
  <c r="I629" i="1"/>
  <c r="I574" i="1" s="1"/>
  <c r="G50" i="1"/>
  <c r="H50" i="1"/>
  <c r="I50" i="1"/>
  <c r="H65" i="1"/>
  <c r="G20" i="1" l="1"/>
  <c r="G150" i="1"/>
  <c r="G149" i="1" s="1"/>
  <c r="H64" i="1"/>
  <c r="H150" i="1"/>
  <c r="H149" i="1" s="1"/>
  <c r="I150" i="1"/>
  <c r="I149" i="1" s="1"/>
  <c r="H45" i="1"/>
  <c r="H44" i="1" s="1"/>
  <c r="I45" i="1"/>
  <c r="I44" i="1" s="1"/>
  <c r="G45" i="1"/>
  <c r="G44" i="1" s="1"/>
  <c r="G43" i="1" l="1"/>
  <c r="G42" i="1"/>
  <c r="G41" i="1" s="1"/>
  <c r="H42" i="1"/>
  <c r="H41" i="1" s="1"/>
  <c r="H19" i="1" s="1"/>
  <c r="H18" i="1" s="1"/>
  <c r="H43" i="1"/>
  <c r="I43" i="1"/>
  <c r="I42" i="1"/>
  <c r="I41" i="1" s="1"/>
  <c r="I19" i="1" s="1"/>
  <c r="I18" i="1" s="1"/>
  <c r="G19" i="1" l="1"/>
  <c r="G18" i="1" s="1"/>
  <c r="I814" i="1"/>
  <c r="H814" i="1"/>
  <c r="G814" i="1" l="1"/>
  <c r="I816" i="1" l="1"/>
  <c r="H816" i="1"/>
</calcChain>
</file>

<file path=xl/comments1.xml><?xml version="1.0" encoding="utf-8"?>
<comments xmlns="http://schemas.openxmlformats.org/spreadsheetml/2006/main">
  <authors>
    <author>Автор</author>
  </authors>
  <commentList>
    <comment ref="K8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2021
</t>
        </r>
      </text>
    </comment>
    <comment ref="J2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2021</t>
        </r>
      </text>
    </comment>
  </commentList>
</comments>
</file>

<file path=xl/sharedStrings.xml><?xml version="1.0" encoding="utf-8"?>
<sst xmlns="http://schemas.openxmlformats.org/spreadsheetml/2006/main" count="3120" uniqueCount="616">
  <si>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</si>
  <si>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</si>
  <si>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</si>
  <si>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</si>
  <si>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</si>
  <si>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</si>
  <si>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</si>
  <si>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</si>
  <si>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</si>
  <si>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</si>
  <si>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</si>
  <si>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</si>
  <si>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</si>
  <si>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 xml:space="preserve">Ведомственная структура расходов районного бюджета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</si>
  <si>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</si>
  <si>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Муниципальная программа Мотыгинского района "Управление муниципальными финансами" </t>
  </si>
  <si>
    <t>Подпрограмма "Обеспечение реализации муниципальной программы и прочие мероприятия"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</si>
  <si>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</si>
  <si>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</si>
  <si>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</si>
  <si>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</si>
  <si>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Межбюджетные трансферты</t>
  </si>
  <si>
    <t>Субвенции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</si>
  <si>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</si>
  <si>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</si>
  <si>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Мобилизационная и вневойсковая подготовка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</si>
  <si>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</si>
  <si>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</si>
  <si>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Общеэкономические вопросы</t>
  </si>
  <si>
    <t>Иные 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</si>
  <si>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</si>
  <si>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 Создание условий для эффективного и ответственного управления муниципальными финансами, повышение устойчивости бюджетов муниципальных образований Мотыгинского района"</t>
  </si>
  <si>
    <t>Предоставление дотаций на выравнивание бюджетной обеспеченности муниципальных образований Мотыгинского района из регионального фонда финансовой поддержки за счет средств краевого бюджета</t>
  </si>
  <si>
    <t>Дотации</t>
  </si>
  <si>
    <t>Предоставление дотаций на выравнивание бюджетной обеспеченности муниципальных образований Мотыгинского района из регионального фонда финансовой поддержки за счет средств районного  бюджета</t>
  </si>
  <si>
    <t>Иной межбюджетный трансферт на поддержку мер по обеспечению сбалансированности бюджетов муниципальных образований Мотыгинского района</t>
  </si>
  <si>
    <t>Субвенция на выполнение государственных полномочий по созданию и обеспечению деятельности комиссий по делам несовершеннолетних и защите их прав</t>
  </si>
  <si>
    <t>Резервные фонды</t>
  </si>
  <si>
    <t>Иные бюджетные ассигнования</t>
  </si>
  <si>
    <t>Резервные средства</t>
  </si>
  <si>
    <t>Резервный фонд администрации</t>
  </si>
  <si>
    <t>Другие общегосударственные вопросы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</si>
  <si>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</si>
  <si>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 исполнительные листы)</t>
  </si>
  <si>
    <t>Исполнение судебных актов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</si>
  <si>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</si>
  <si>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Отдельное мероприятие программы</t>
  </si>
  <si>
    <t>Транспорт</t>
  </si>
  <si>
    <t>Сельское хозяйство и рыболовство</t>
  </si>
  <si>
    <t>Муниципальная программа "Развитие инвестиционной, инновационной деятельности малого и среднего предпринимательства в Мотыгинском районе"</t>
  </si>
  <si>
    <t>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</t>
  </si>
  <si>
    <t>Муниципальная программа "Развитие транспортной системы в Мотыгинском районе"</t>
  </si>
  <si>
    <t>Предоставление субсидии   на компенсацию расходов возникающих в результате небольшой интенсивности пассажирских потоков, юридическим лицам независимо от организационно-правовой формы, индивидуальным предпринимателям, осуществляющим регулярные пассажирские перевозки по муниципальным маршрутам  в рамках подпрограммы "Развитие воздушного и автомобильного пассажирского транспорта."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</si>
  <si>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</si>
  <si>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</t>
  </si>
  <si>
    <t>Подпрограмма "Безопасность дорожного движения в Мотыгинском районе"</t>
  </si>
  <si>
    <t>Другие вопросы в области национальной экономики</t>
  </si>
  <si>
    <t>Оказание финансовой поддержки субъектам малого и среднего предпринимательства</t>
  </si>
  <si>
    <t>Предоставление субсидий бюджетным, автономным учреждениям и иным некоммерческим организациям</t>
  </si>
  <si>
    <t xml:space="preserve">Субвенции бюджетам муниципальных образований на выполнение государственных полномочий по организации проведения мероприятий по отлову и содержанию безнадзорных животных </t>
  </si>
  <si>
    <t xml:space="preserve">Коммунальное хозяйство </t>
  </si>
  <si>
    <t>Муниципальная программа "Реформирование и модернизация жилищно-коммунального хозяйства и повышения энергетической эффективности"</t>
  </si>
  <si>
    <t>Другие вопросы в области образования</t>
  </si>
  <si>
    <t>Муниципальная  программа Мотыгинского района «Развитие общего и дополнительного образования в Мотыгинском районе »</t>
  </si>
  <si>
    <t>Подпрограмма «Обеспечение реализации муниципальной программы"</t>
  </si>
  <si>
    <t>0 340000000</t>
  </si>
  <si>
    <t>Муниципальная программа " Обеспечение доступным и комфортным жильем в Мотыгинском районе "</t>
  </si>
  <si>
    <t>Охрана семьи и детства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</si>
  <si>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
родителей, лиц из числа детей-сирот и детей, оставшихся без попечения родителей, за счет средств краевого бюджета </t>
  </si>
  <si>
    <t xml:space="preserve">Другие общегосударственные вопросы </t>
  </si>
  <si>
    <t>Муниципальная программа "Развитие культуры"</t>
  </si>
  <si>
    <t>Подпрограмма "Развитие архивного дела в Мотыгинском районе"</t>
  </si>
  <si>
    <t>Обеспечение деятельности архивного фонда в Мотыгинском районе</t>
  </si>
  <si>
    <t>Расходы на выплаты персоналу казенных учреждений</t>
  </si>
  <si>
    <t>Субвенции бюджетам муниципальных образований на осуществление государственных полномочий в области архивного дела</t>
  </si>
  <si>
    <t>Общее образование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</si>
  <si>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</si>
  <si>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</t>
  </si>
  <si>
    <t>Субсидии бюджетным учреждениям</t>
  </si>
  <si>
    <t>Культура</t>
  </si>
  <si>
    <t>Подпрограмма "Культурное наследие"</t>
  </si>
  <si>
    <t>Обеспечение деятельности (оказание услуг) подведомственных учреждений  (развитие библиотечного дела) в рамках подпрограммы "Культурное наследие"</t>
  </si>
  <si>
    <t>Подпрограмма "Искусство и народное творчество"</t>
  </si>
  <si>
    <t>Обеспечение деятельности (оказание услуг) подведомственных учреждений (театр) в рамках подпрограммы "Искусство и народное творчество"</t>
  </si>
  <si>
    <t>Обеспечение деятельности (оказание услуг) подведомственных учреждений (музей) в рамках подпрограммы "Культурное наследие"</t>
  </si>
  <si>
    <t>Молодежная политика и оздоровление детей</t>
  </si>
  <si>
    <t>Муниципальная программа "Молодежь Мотыгинского района в ХХ1 веке"</t>
  </si>
  <si>
    <t>Обеспечение деятельности (оказание услуг) подведомственных учреждений (СКЦ) в рамках подпрограммы "Искусство и народное творчество"</t>
  </si>
  <si>
    <t>Осуществление части полномочий по обеспечению населения услугами по организации досуга и услугами организации культуры</t>
  </si>
  <si>
    <t>Другие вопросы в области культуры, кинематографии</t>
  </si>
  <si>
    <t>Руководство и управление в сфере установленных функций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</si>
  <si>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</si>
  <si>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подведомственных учреждений в рамках подпрограммы "Обеспечение предупреждения возникновения и развития чрезвычайных ситуаций природного и техногенного характера</t>
  </si>
  <si>
    <t xml:space="preserve">Руководство и управление в сфере установленных функций органов исполнительной власти </t>
  </si>
  <si>
    <t>Пенсионное обеспечение</t>
  </si>
  <si>
    <t>Муниципальная программа "Система социальной защиты и социального обслуживания населения Мотыгинского района ".</t>
  </si>
  <si>
    <t>Подпрограмма "Обеспечение реализации муниципальных программ""</t>
  </si>
  <si>
    <t>Исполнение полномочий района по предоставлению выплаты пенсий за выслугу лет лицам, замещавшим муниципальные должности муниципальной службы.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</si>
  <si>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</si>
  <si>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</si>
  <si>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обслуживание населения</t>
  </si>
  <si>
    <t>Подпрограмма "Повышение качества и доступности социальных услуг населению""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</si>
  <si>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</t>
  </si>
  <si>
    <t>Социальное обеспечение населения</t>
  </si>
  <si>
    <t>Подпрограмма "Социальная поддержка семей, имеющих детей"</t>
  </si>
  <si>
    <t>Субвенции бюджетам муниципальных образований края на финансирование расходов, связанных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</si>
  <si>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Другие вопросы в области социальной политики</t>
  </si>
  <si>
    <t>Руководство и управление в сфере установленных функций органов управления социальной защиты населения Мотыгинского района.</t>
  </si>
  <si>
    <t>Уплата налогов, сборов и иных платежей</t>
  </si>
  <si>
    <t>Расходы на выполнение функций районного бюджета</t>
  </si>
  <si>
    <t>Подпрограмма «Повышение качества жизни отдельных категорий граждан в т.ч. инвалидов, степени их социальной защищенности"</t>
  </si>
  <si>
    <t>Социальные выплаты гражданам, кроме публичных нормативных социальных выплат</t>
  </si>
  <si>
    <t>Организация сопровождения одиноких пенсионеров в стационарные учреждения</t>
  </si>
  <si>
    <t>Всего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</si>
  <si>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</si>
  <si>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</si>
  <si>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</si>
  <si>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</si>
  <si>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</si>
  <si>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</si>
  <si>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</si>
  <si>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</si>
  <si>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0106</t>
  </si>
  <si>
    <t>0111</t>
  </si>
  <si>
    <t>0113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</si>
  <si>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</si>
  <si>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</si>
  <si>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</si>
  <si>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</si>
  <si>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</si>
  <si>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</si>
  <si>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</si>
  <si>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</si>
  <si>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0401</t>
  </si>
  <si>
    <t>0405</t>
  </si>
  <si>
    <t>0408</t>
  </si>
  <si>
    <t>Дорожное хозяйство (дорожные фонды)</t>
  </si>
  <si>
    <t>0409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</si>
  <si>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</si>
  <si>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</si>
  <si>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</si>
  <si>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</si>
  <si>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</si>
  <si>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</si>
  <si>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</si>
  <si>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</si>
  <si>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</si>
  <si>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0702</t>
  </si>
  <si>
    <t>0707</t>
  </si>
  <si>
    <t>0709</t>
  </si>
  <si>
    <t>КУЛЬТУРА, КИНЕМАТОГРАФИЯ</t>
  </si>
  <si>
    <t>0800</t>
  </si>
  <si>
    <t>0801</t>
  </si>
  <si>
    <t>0804</t>
  </si>
  <si>
    <t>СОЦИАЛЬНАЯ ПОЛИТИКА</t>
  </si>
  <si>
    <t>1000</t>
  </si>
  <si>
    <t>1001</t>
  </si>
  <si>
    <t>1002</t>
  </si>
  <si>
    <t>1003</t>
  </si>
  <si>
    <t>1006</t>
  </si>
  <si>
    <t>1400</t>
  </si>
  <si>
    <t>1401</t>
  </si>
  <si>
    <t>1403</t>
  </si>
  <si>
    <t>Условно утвержденные расходы</t>
  </si>
  <si>
    <t>Подпрограмма "Развитие дошкольного образования"</t>
  </si>
  <si>
    <t>Подпрограмма «Развитие  общего образования»</t>
  </si>
  <si>
    <t>Подпрограмма «Развитие дополнительного образования детей»</t>
  </si>
  <si>
    <t xml:space="preserve">Подпрограмма "Повышение устойчивости и перспективное развитие коммунальной инфраструктуры Мотыгинского района" </t>
  </si>
  <si>
    <t>Отдельные мероприятия программы</t>
  </si>
  <si>
    <t>Подпрограмма "Безопасность дорожного движения в Мотыгинском районе "</t>
  </si>
  <si>
    <t>Подпрограмма "Переселение граждан из аварийного жилищного фонда в Мотыгинском районе"</t>
  </si>
  <si>
    <t>Подпрограмма "Обеспечение жильем молодых семей в Мотыгинском районе"</t>
  </si>
  <si>
    <t>Подпрограмма "Территориальное планирование, градостроительное зонирование и документация по планировке территории Мотыгинского района"</t>
  </si>
  <si>
    <t>Подпрограмма " Обеспечение работников органов местного самоуправления, муниципальных предприятий и учреждений Мотыгинского района служебным жильем за счет средств бюджета муниципального образования"</t>
  </si>
  <si>
    <t>Непрограммные расходы законодательного органа власти</t>
  </si>
  <si>
    <t xml:space="preserve">Депутаты законодательного органа </t>
  </si>
  <si>
    <t>Руководство и управление в сфере установленных функций органов государственной власти в рамках непрограммных расходов законодательного органа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</si>
  <si>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</si>
  <si>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Обеспечение социальной выплаты участников подпрограммы</t>
  </si>
  <si>
    <t xml:space="preserve">Субвенции бюджетам муниципальных образований  на реализацию 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
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
без взимания родительской платы» на 2016 год и плановый период 2017 - 2018 годов </t>
  </si>
  <si>
    <t>Руководство и управление в сфере делегированных полномочий</t>
  </si>
  <si>
    <t>Субвенции бюджетам муниципальных образований края на реализацию государственных полномочий по выплате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на 2016 год и плановый период 2017-2018 годов</t>
  </si>
  <si>
    <t>Субвенции бюджетам муниципальных образований края на реализацию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на 2016 год и плановый период 2017 - 2018 годов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</si>
  <si>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</si>
  <si>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</si>
  <si>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</si>
  <si>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</t>
  </si>
  <si>
    <t>Предоставление адресной материальной помощи пенсионерам, малообеспеченным, проведение мероприятий к Дню победы, социальная поддержка Совета ветеранов, приобретение открыток ко Дню победы, компенсация проезда, наборы для новорожденных</t>
  </si>
  <si>
    <t>Муниципальная программа Мотыгинского района "Защита населения и территорий Мотыгинского района от чрезвычайных ситуаций природного и техногенного характера"</t>
  </si>
  <si>
    <t>Руководство и управление в сфере установленных функций органов исполнительной власти в рамках подпрограммы «Обеспечение реализации муниципальной программы и прочие мероприятия» муниципальной  программы Мотыгинского района «Управление муниципальными финансами»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</si>
  <si>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</si>
  <si>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Предоставление единовременной адресной материальной помощи гражданам находящихся в трудной жизненной ситуации в том числе оказание натуральной помощи</t>
  </si>
  <si>
    <t>Предоставление единовременной адресной материальной помощи гражданам находящихся в трудной жизненной ситуации, в том числе оказание натуральной помощи</t>
  </si>
  <si>
    <t>Предоставление адресной материальной помощи пенсионерам, малообеспеченным, проведение мероприятий к Дню победы, социальная поддержка Совета ветеранов, приобретение открыток ко Дню победы, компенсация проезда</t>
  </si>
  <si>
    <t>Предоставление материальной помощи по акции "Помоги пойти учиться", наборы для новорожденных</t>
  </si>
  <si>
    <t>Обеспечение деятельности подведомственных учреждений</t>
  </si>
  <si>
    <t>Итого</t>
  </si>
  <si>
    <t>к решению Мотыгинского районного</t>
  </si>
  <si>
    <t>Приложение № 6</t>
  </si>
  <si>
    <t>от _____________ № ____________</t>
  </si>
  <si>
    <t>Приложение № 7</t>
  </si>
  <si>
    <t>от ________________ № ____________</t>
  </si>
  <si>
    <t>Инвентаризация и паспортизация объектов дорожного хозяйства, оформление права муниципальной собственности на объекты дорожного хозяйства и земельные участки, на которых они расположены</t>
  </si>
  <si>
    <t>Социальные выплаты гражданам, кроме публичных нормативных социальных выплат (наборы для новорожденных)</t>
  </si>
  <si>
    <t>099</t>
  </si>
  <si>
    <t>Сумма на          2019 год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</si>
  <si>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муниципальных районов, городских округов, городских и сельских поселений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</si>
  <si>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</si>
  <si>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края на реализацию государственных полномочий по выплате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на 2018 год и плановый период 2019-2020 годов</t>
  </si>
  <si>
    <t>Подпрограмма "Обеспечение жилыми помещениями детей-сирот и детей, оставшихся без попечения родителей, лиц из числа детей сирот и детей оставшихся без попечения родителей"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</si>
  <si>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</si>
  <si>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</si>
  <si>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</si>
  <si>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</si>
  <si>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Обеспечение деятельности (оказание услуг) подведомственных учреждений (СДК) в рамках подпрограммы "Искусство и народное творчество"</t>
  </si>
  <si>
    <t>Дополнительное образование</t>
  </si>
  <si>
    <t>094</t>
  </si>
  <si>
    <t>Приобретение жилых помещений для участников подпрограммы</t>
  </si>
  <si>
    <t>Закупка товаров, работ и услуг для государственных (муниципальных) нужд</t>
  </si>
  <si>
    <t>0105</t>
  </si>
  <si>
    <t>Дополнительное образование детей</t>
  </si>
  <si>
    <t>Сумма на          2020 год</t>
  </si>
  <si>
    <t>951</t>
  </si>
  <si>
    <t>1004</t>
  </si>
  <si>
    <t>0703</t>
  </si>
  <si>
    <t>0500000000</t>
  </si>
  <si>
    <t>0520000000</t>
  </si>
  <si>
    <t>0520000210</t>
  </si>
  <si>
    <t>0700000000</t>
  </si>
  <si>
    <t>0710000000</t>
  </si>
  <si>
    <t>0730000000</t>
  </si>
  <si>
    <t>0510000000</t>
  </si>
  <si>
    <t>0510076010</t>
  </si>
  <si>
    <t>0510050010</t>
  </si>
  <si>
    <t>0510050030</t>
  </si>
  <si>
    <t>0600000000</t>
  </si>
  <si>
    <t>0610000000</t>
  </si>
  <si>
    <t>0900000000</t>
  </si>
  <si>
    <t>0990000000</t>
  </si>
  <si>
    <t>09900S6070</t>
  </si>
  <si>
    <t>0790000000</t>
  </si>
  <si>
    <t>0790075770</t>
  </si>
  <si>
    <t>0790075700</t>
  </si>
  <si>
    <t>0300000000</t>
  </si>
  <si>
    <t>0340000000</t>
  </si>
  <si>
    <t>0340075520</t>
  </si>
  <si>
    <t>0800000000</t>
  </si>
  <si>
    <t>0810000000</t>
  </si>
  <si>
    <t>0200000000</t>
  </si>
  <si>
    <t>0220000000</t>
  </si>
  <si>
    <t>0220000610</t>
  </si>
  <si>
    <t>0220075190</t>
  </si>
  <si>
    <t>0620000000</t>
  </si>
  <si>
    <t>0310000000</t>
  </si>
  <si>
    <t>0310000610</t>
  </si>
  <si>
    <t>0310074080</t>
  </si>
  <si>
    <t>0310075880</t>
  </si>
  <si>
    <t>0310075540</t>
  </si>
  <si>
    <t>0320000000</t>
  </si>
  <si>
    <t>0320000610</t>
  </si>
  <si>
    <t>0320074090</t>
  </si>
  <si>
    <t>0320075640</t>
  </si>
  <si>
    <t>0330000000</t>
  </si>
  <si>
    <t>0330000660</t>
  </si>
  <si>
    <t>0340000610</t>
  </si>
  <si>
    <t>0340075560</t>
  </si>
  <si>
    <t>0320075660</t>
  </si>
  <si>
    <t>0240000000</t>
  </si>
  <si>
    <t>0240000610</t>
  </si>
  <si>
    <t>0400000000</t>
  </si>
  <si>
    <t>0420000000</t>
  </si>
  <si>
    <t>0210000000</t>
  </si>
  <si>
    <t>0210000610</t>
  </si>
  <si>
    <t>0210000630</t>
  </si>
  <si>
    <t>0230000000</t>
  </si>
  <si>
    <t>0230000640</t>
  </si>
  <si>
    <t>0230000650</t>
  </si>
  <si>
    <t>0230000660</t>
  </si>
  <si>
    <t>0100000000</t>
  </si>
  <si>
    <t>0150000000</t>
  </si>
  <si>
    <t>0150001110</t>
  </si>
  <si>
    <t>0140000000</t>
  </si>
  <si>
    <t>0140001510</t>
  </si>
  <si>
    <t>0140000070</t>
  </si>
  <si>
    <t>0120000000</t>
  </si>
  <si>
    <t>0120006400</t>
  </si>
  <si>
    <t>0110000000</t>
  </si>
  <si>
    <t>0110080010</t>
  </si>
  <si>
    <t>0110080020</t>
  </si>
  <si>
    <t>0120080030</t>
  </si>
  <si>
    <t>0150000060</t>
  </si>
  <si>
    <t>0150075130</t>
  </si>
  <si>
    <t>МУНИЦИПАЛЬНАЯ ПРОГРАММА "СИСТЕМА СОЦИАЛЬНОЙ ЗАЩИТЫ И СОЦИАЛЬНОГО ОБСЛУЖИВАНИЯ НАСЕЛЕНИЯ МОТЫГИНСКОГО РАЙОНА "</t>
  </si>
  <si>
    <t xml:space="preserve">МУНИЦИПАЛЬНАЯ ПРОГРАММА МОТЫГИНСКОГО РАЙОНА "РАЗВИТИЕ КУЛЬТУРЫ И ТУРИЗМА" </t>
  </si>
  <si>
    <t>МУНИЦИПАЛЬНАЯ ПРОГРАММА МОТЫГИНСКОГО РАЙОНА «РАЗВИТИЕ ОБЩЕГО И ДОПОЛНИТЕЛЬНОГО ОБРАЗОВАНИЯ В МОТЫГИНСКОМ РАЙОНЕ »</t>
  </si>
  <si>
    <t>МУНИЦИПАЛЬНАЯ ПРОГРАММА "МОЛОДЕЖЬ МОТЫГИНСКОГО РАЙОНА В ХХ1 ВЕКЕ"</t>
  </si>
  <si>
    <t xml:space="preserve">МУНИЦИПАЛЬНАЯ ПРОГРАММА МОТЫГИНСКОГО РАЙОНА "УПРАВЛЕНИЕ МУНИЦИПАЛЬНЫМИ ФИНАНСАМИ" </t>
  </si>
  <si>
    <t>МУНИЦИПАЛЬНАЯ ПРОГРАММА "СОДЕЙСТВИЕ РАЗВИТИЮ МЕСТНОГО САМОУПРАВЛЕНИЯ"</t>
  </si>
  <si>
    <t>МУНИЦИПАЛЬНАЯ ПРОГРАММА "РЕФОРМИРОВАНИЕ И МОДЕРНИЗАЦИЯ ЖИЛИЩНО-КОММУНАЛЬНОГО ХОЗЯЙСТВА И ПОВЫШЕНИЯ ЭНЕРГЕТИЧЕСКОЙ ЭФФЕКТИВНОСТИ"</t>
  </si>
  <si>
    <t>МУНИЦИПАЛЬНАЯ ПРОГРАММА "ЗАЩИТА НАСЕЛЕНИЯ И ТЕРРИТОРИЙ МОТЫГИНСКОГО РАЙОНА ОТ ЧРЕЗВЫЧАЙНЫХ СИТУАЦИЙ ПРИРОДНОГО И ТЕХНОГЕННОГО ХАРАКТЕРА."</t>
  </si>
  <si>
    <t>МУНИЦИПАЛЬНАЯ ПРОГРАММА "РАЗВИТИЕ ИНВЕСТИЦИОННОЙ, ИННОВАЦИОННОЙ ДЕЯТЕЛЬНОСТИ МАЛОГО И СРЕДНЕГО ПРЕДПРИНИМАТЕЛЬСТВА В МОТЫГИНСКОМ РАЙОНЕ"</t>
  </si>
  <si>
    <t>МУНИЦИПАЛЬНАЯ ПРОГРАММА "РАЗВИТИЕ ТРАНСПОРТНОЙ СИСТЕМЫ В МОТЫГИНСКОМ РАЙОНЕ".</t>
  </si>
  <si>
    <t>МУНИЦИПАЛЬНАЯ ПРОГРАММА "ОБЕСПЕЧЕНИЕ ДОСТУПНЫМ И КОМФОРТНЫМ ЖИЛЬЕМ ЖИТЕЛЕЙ МОТЫГИНСКОГО РАЙОНА"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</si>
  <si>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</si>
  <si>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ФИНАНСОВО-ЭКОНОМИЧЕСКОЕ УПРАВЛЕНИЕ АДМИНИСТРАЦИИ МОТЫГИНСКОГО РАЙОНА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</si>
  <si>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</si>
  <si>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</si>
  <si>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АДМИНИСТРАЦИЯ МОТЫГИНСКОГО РАЙОНА</t>
  </si>
  <si>
    <t>МУНИЦИПАЛЬНОЕ КАЗЁННОЕ УЧРЕЖДЕНИЕ "ЕДИНАЯ ДЕЖУРНО-ДИСПЕТЧЕРСКАЯ СЛУЖБА" МОТЫГИНСКОГО РАЙОНА</t>
  </si>
  <si>
    <t>МУНИЦИПАЛЬНОЕ КАЗЕННОЕ УЧРЕЖДЕНИЕ "МОТЫГИНСКИЙ РАЙОННЫЙ АРХИВ"</t>
  </si>
  <si>
    <t>МУНИЦИПАЛЬНОЕ КАЗЕННОЕ УЧРЕЖДЕНИЕ "СЛУЖБА ЕДИНОГО ЗАКАЗА  МОТЫГИНСКОГО РАЙОНА"</t>
  </si>
  <si>
    <t>МУНИЦИПАЛЬНОЕ КАЗЕННОЕ УЧРЕЖДЕНИЕ "ЦЕНТРАЛИЗОВАННАЯ БУХГАЛТЕРИЯ МУНИЦИПАЛЬНОГО ОБРАЗОВАНИЯ МОТЫГИНСКИЙ РАЙОН"</t>
  </si>
  <si>
    <t>МУНИЦИПАЛЬНОЕ КАЗЕННОЕ УЧРЕЖДЕНИЕ "СЛУЖБА СТРОИТЕЛЬСТВА  МОТЫГИНСКОГО РАЙОНА"</t>
  </si>
  <si>
    <t>МУНИЦИПАЛЬНОЕ КАЗЁННОЕ УЧРЕЖДЕНИЕ "УПРАВЛЕНИЕ ОБРАЗОВАНИЯ МОТЫГИНСКОГО РАЙОНА"</t>
  </si>
  <si>
    <t>МУНИЦИПАЛЬНОЕ КАЗЕННОЕ УЧРЕЖДЕНИЕ УПРАВЛЕНИЕ КУЛЬТУРЫ МОТЫГИНСКОГО РАЙОНА</t>
  </si>
  <si>
    <t>УПРАВЛЕНИЕ СОЦИАЛЬНОЙ ЗАЩИТЫ НАСЕЛЕНИЯ АДМИНИСТРАЦИИ МОТЫГИНСКОГО РАЙОНА</t>
  </si>
  <si>
    <t>КОНТРОЛЬНО-СЧЕТНЫЙ ОРГАН МОТЫГИНСКОГО РАЙОНА</t>
  </si>
  <si>
    <t>МОТЫГИНСКИЙ РАЙОННЫЙ СОВЕТ ДЕПУТАТОВ</t>
  </si>
  <si>
    <t>0130000000</t>
  </si>
  <si>
    <t>0250000000</t>
  </si>
  <si>
    <t>0410000000</t>
  </si>
  <si>
    <t>0430000000</t>
  </si>
  <si>
    <t>0720000000</t>
  </si>
  <si>
    <t>Реализация мероприятий на проведение и организацию акарицидных обработок мест массового отдыха населения</t>
  </si>
  <si>
    <t>Реализация мероприятий по содержанию автомобильных дорог общего пользования местного значения муниципальных районов, городских округов, городских и сельских поселений</t>
  </si>
  <si>
    <t>0320076490</t>
  </si>
  <si>
    <t>Совета депутатов</t>
  </si>
  <si>
    <t>МУНИЦИПАЛЬНАЯ ПРОГРАММА "РАЗВИТИЕ ФИЗИЧЕСКОЙ КУЛЬТУРЫ И СПОРТА НА ТЕРРИТОРИИ МОТЫГИНСКОГО РАЙОНА"</t>
  </si>
  <si>
    <t>Муниципальная программа "Обеспечение доступным и комфортным жильем жителей Мотыгинского района"</t>
  </si>
  <si>
    <t>Актуализация документов территориального планирования и градостроительного зонирования муниципальных образований Мотыгинского района</t>
  </si>
  <si>
    <t>Реализация социокультурного проекта</t>
  </si>
  <si>
    <t>02300S4810</t>
  </si>
  <si>
    <t>Комплектование книжных фондов библиотек Мотыгинского района</t>
  </si>
  <si>
    <t>02400L5190</t>
  </si>
  <si>
    <t>Физическая культура и спорт</t>
  </si>
  <si>
    <t>Физическая культура</t>
  </si>
  <si>
    <t>1100</t>
  </si>
  <si>
    <t>Муниципальная программа "Развитие физической культуры и спорта на территории Мотыгинского района"</t>
  </si>
  <si>
    <t>1101</t>
  </si>
  <si>
    <t>ФИЗИЧЕСКАЯ КУЛЬТУРА И СПОРТ</t>
  </si>
  <si>
    <t>на 2019 год и плановый период 2020-2021 гг.</t>
  </si>
  <si>
    <t>Сумма на          2021 год</t>
  </si>
  <si>
    <t>Подпрограмма "Содержание автомобильных дорог общего пользования местного значения"</t>
  </si>
  <si>
    <t>Непрограммные расходы администрации Мотыгинского района</t>
  </si>
  <si>
    <t>Функционирование администрации Мотыгинского района</t>
  </si>
  <si>
    <t>Глава муниципального образования в рамках непрограммных расходов администрации Мотыгинского района</t>
  </si>
  <si>
    <t>8500000000</t>
  </si>
  <si>
    <t>8510000000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</si>
  <si>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Мотыгинского района</t>
  </si>
  <si>
    <t>8510000220</t>
  </si>
  <si>
    <t>Функционирование финансово-экономического управления администрации Мотыгинского района</t>
  </si>
  <si>
    <t>0690084020</t>
  </si>
  <si>
    <t>85100S5550</t>
  </si>
  <si>
    <t>Муниципальная программа " Обеспечение доступным и комфортным жильем жителей в Мотыгинского района"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</si>
  <si>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</t>
  </si>
  <si>
    <t>Подпрограмма "Обеспечение реализации муниципальной программы"</t>
  </si>
  <si>
    <t>Субсидии юридическим лицам (за исключением государственных и  муниципальных учреждений) и  индивидуальным предпринимателям в целях возмещения недополученных доходов и (или) финансового обеспечения (возмещения) затрат, возникающих в связи с регулированием тарифов на перевозки пассажиров внутренним водным транспортом в местном сообщении</t>
  </si>
  <si>
    <t>10400S5080</t>
  </si>
  <si>
    <t>Субсидии бюджетам муниципальных образований на содержание автомобильных дорог общего пользования местного значения</t>
  </si>
  <si>
    <t>Связь и информатика</t>
  </si>
  <si>
    <t>0410</t>
  </si>
  <si>
    <t>11300S4660</t>
  </si>
  <si>
    <t>Реализация отдельных мер по обеспечению ограничения платы граждан за коммунальные услуги</t>
  </si>
  <si>
    <t>11200L4970</t>
  </si>
  <si>
    <t>Функционирование службы единого заказа Мотыгинского района</t>
  </si>
  <si>
    <t>9110000000</t>
  </si>
  <si>
    <t>9110000610</t>
  </si>
  <si>
    <t>9100000000</t>
  </si>
  <si>
    <t>9170000000</t>
  </si>
  <si>
    <t>Функционирование централизованной бухгалтерии муниципального образования Мотыгинский район</t>
  </si>
  <si>
    <t>Непрограммные расходы казенных учреждений</t>
  </si>
  <si>
    <t>9170000610</t>
  </si>
  <si>
    <t>Функционирование службы строительства Мотыгинского района</t>
  </si>
  <si>
    <t>Непрограммные расходы Контрольно-счетного органа Мотыгинского района</t>
  </si>
  <si>
    <t>Функционирование Контрольно-счетного органа Мотыгинского района</t>
  </si>
  <si>
    <t>Функционирование Мотыгинского районного Совета депутатов</t>
  </si>
  <si>
    <t>Муниципальная программа  "Содействие развитию местного самоуправления"</t>
  </si>
  <si>
    <t>МУНИЦИПАЛЬНОЕ КАЗЕННОЕ УЧРЕЖДЕНИЕ "СЛУЖБА ЗЕМЕЛЬНО-ИМУЩЕСТВЕННЫХ ОТНОШЕНИЙ  МОТЫГИНСКОГО РАЙОНА"</t>
  </si>
  <si>
    <t>Функционирование службы земельно-имущественных отношений Мотыгинского района</t>
  </si>
  <si>
    <t>Подпрограмма "Эффективное управление муниципальной собственностью"</t>
  </si>
  <si>
    <t>0610000850</t>
  </si>
  <si>
    <t>0610017110</t>
  </si>
  <si>
    <t>Муниципальная программа "Содействие развитию местного самоуправления""</t>
  </si>
  <si>
    <t>Организация общественных работ на территории Мотыгинского района, обеспечивающих временную занятость и материальную поддержку безработных граждан</t>
  </si>
  <si>
    <t>Иной межбюджетный трансферт бюджетам муниципальных образований на содержание автомобильных дорог общего пользования местного значения</t>
  </si>
  <si>
    <t>Подпрограмма "Устойчивое развитие сельских территорий"</t>
  </si>
  <si>
    <t>Предоставление выпадающих доходов , возникающих в результате поставки населению по регулируемым ценам (тарифам) электрической энергии, вырабатываемой дизельными электростанциями</t>
  </si>
  <si>
    <t>Подпрограмма Осуществление деятельности по обеспечению безопасности в чрезвычайных ситуациях"</t>
  </si>
  <si>
    <t>0810000610</t>
  </si>
  <si>
    <t>Финансирование расходов на содержание единых дежурно-диспетчерских служб</t>
  </si>
  <si>
    <t>08100S4130</t>
  </si>
  <si>
    <t>Благоустройство</t>
  </si>
  <si>
    <t>0503</t>
  </si>
  <si>
    <t>Подпрограмма "Благоустройство территорий поселений"</t>
  </si>
  <si>
    <t>Финансирование расходов на реализацию мероприятий муниципальных программ района</t>
  </si>
  <si>
    <t>02300L4660</t>
  </si>
  <si>
    <t>0240000660</t>
  </si>
  <si>
    <t>0690000000</t>
  </si>
  <si>
    <t>Подпрограмма "Осуществление деятельности по обеспечению безопасности в чрезвычайных ситуациях"</t>
  </si>
  <si>
    <t>08200000000</t>
  </si>
  <si>
    <t>Подпрограмма "Капитальный ремонт и ремонт автомобильных дорог общего пользования местного значения"</t>
  </si>
  <si>
    <t>Обеспечение деятельности подведомственных учреждений в рамках непрограммных расходов</t>
  </si>
  <si>
    <t>0320080210</t>
  </si>
  <si>
    <t>Подготовка общеобразовательных учреждений к новому учебному году</t>
  </si>
  <si>
    <t>Подпрограмма «Вовлечение молодежи Мотыгинского района в социальную практику "</t>
  </si>
  <si>
    <t>Обеспечение деятельности, содержание МБУ "Молодежный центр Мотыгинского района"</t>
  </si>
  <si>
    <t>0410000610</t>
  </si>
  <si>
    <t xml:space="preserve">Субсидии бюджетам муниципальных образований края на поддержку деятельности муниципальных молодежных центров </t>
  </si>
  <si>
    <t>0410074560</t>
  </si>
  <si>
    <t>04100S4560</t>
  </si>
  <si>
    <t>Проведение мероприятий по трудовому воспитанию несовершеннолетних</t>
  </si>
  <si>
    <t>0410086040</t>
  </si>
  <si>
    <t>952</t>
  </si>
  <si>
    <t>Создание условий для развития и совершенствования системы патриотического воспитания молодежи Мотыгинского района</t>
  </si>
  <si>
    <t>0420086030</t>
  </si>
  <si>
    <t>Содействие формированию пространства, способствующего развитию гражданских инициатив и поддержка социально-ориентированных некоммерческих организаций на территории Мотыгинского района</t>
  </si>
  <si>
    <t>0430086060</t>
  </si>
  <si>
    <t>1300000000</t>
  </si>
  <si>
    <t>1310000000</t>
  </si>
  <si>
    <t>Реализация комплекса мер, направленных на стимулирование и вовлечение населения в занятия физической культурой и спортом</t>
  </si>
  <si>
    <t>1310080070</t>
  </si>
  <si>
    <t>1320000000</t>
  </si>
  <si>
    <t>1320080080</t>
  </si>
  <si>
    <t>Подпрограмма "Патриотическое воспитание молодежи Мотыгинского района"</t>
  </si>
  <si>
    <t>Комплектование книжных фондов библиотек  муниципального образования Мотыгинский район</t>
  </si>
  <si>
    <t>Создание условий для развития и популяризации комплекса ГТО на территории Мотыгинского района</t>
  </si>
  <si>
    <t>Муниципальная программа "Содействие развитию местного самоуправления"</t>
  </si>
  <si>
    <t xml:space="preserve">Реализация мероприятий  на поддержку деятельности муниципальных молодежных центров </t>
  </si>
  <si>
    <t>Подпрограмма " Чистая вода Мотыгинского района"</t>
  </si>
  <si>
    <t>Подпрограмма "Развитие воздушного, водного и автомобильного пассажирского транспорта."</t>
  </si>
  <si>
    <t>Подпрограмма "Развитие массовой физической культуры и спорта на территории Мотыгинского района"</t>
  </si>
  <si>
    <t>Подпрограмма "Внедрение Всероссийского физкультурно-спортивного комплекса "Готов к труду и обороне" (ГТО) в Мотыгинском районе"</t>
  </si>
  <si>
    <t>Субвенции бюджетам муниципальных образований края на реализацию Закона края «О наделении органов местного самоуправления муниципальных районов 
и городских округов края государственными полномочиями по обеспечению отдыха 
и оздоровления детей»</t>
  </si>
  <si>
    <t xml:space="preserve">Субвенции бюджетам муниципальных образований края на реализацию Закона края «О наделении органов местного самоуправления муниципальных районов 
и городских округов края государственными полномочиями по обеспечению отдыха 
и оздоровления детей» </t>
  </si>
  <si>
    <t xml:space="preserve">Муниципальная программа  "Развитие культуры и туризма" </t>
  </si>
  <si>
    <t xml:space="preserve">Муниципальная программа "Развитие культуры и туризма" </t>
  </si>
  <si>
    <t>Подпрограмма "Обеспечение реализации общественных и гражданских инициатив и поддержка социально-ориентированных некоммерческих организаций "</t>
  </si>
  <si>
    <t>Муниципальная программа Мотыгинского района"Управление муниципальными финансами"</t>
  </si>
  <si>
    <t>Муниципальная программа Мотыгинского района "Управление муниципальными финансами"</t>
  </si>
  <si>
    <t xml:space="preserve">Оценка недвижимости , признание прав и регулирование отношений по государственной и муниципальной собственности </t>
  </si>
  <si>
    <t>Мероприятия по землеустройству и землепользованию</t>
  </si>
  <si>
    <t xml:space="preserve">Мероприятия по землеустройству и землепользованию </t>
  </si>
  <si>
    <t>0710085010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</si>
  <si>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</si>
  <si>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0520010210</t>
  </si>
  <si>
    <t>Обеспечение пожарной безопасности</t>
  </si>
  <si>
    <t>0310</t>
  </si>
  <si>
    <t>Иной межбюджетный трансферт бюджетам муниципальных образований края на обеспечение первичных мер пожарной безопасности</t>
  </si>
  <si>
    <t>0810074120</t>
  </si>
  <si>
    <t>8510010210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</si>
  <si>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</si>
  <si>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0320075630</t>
  </si>
  <si>
    <t>Развитие инфраструктуры общеобразовательных учреждений</t>
  </si>
  <si>
    <t>03200S5630</t>
  </si>
  <si>
    <t>0 320075630</t>
  </si>
  <si>
    <t>0 3200S5630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</si>
  <si>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</si>
  <si>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0810074130</t>
  </si>
  <si>
    <t>Осуществление части полномочий по исполнению бюджета поселения, ведения бухгалтерского учета и формирования бюджетной отчетности</t>
  </si>
  <si>
    <t>9170084560</t>
  </si>
  <si>
    <t>9170010210</t>
  </si>
  <si>
    <t>0240010210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</si>
  <si>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</t>
  </si>
  <si>
    <t>0240010480</t>
  </si>
  <si>
    <t>0 240010210</t>
  </si>
  <si>
    <t>0410010210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</si>
  <si>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</si>
  <si>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0210010490</t>
  </si>
  <si>
    <t>0230010490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</si>
  <si>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в рамках подпрограммы "Поддержка искусства и народного творчества" государственной программы Красноярского рая "Развитие культуры и туризма"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</si>
  <si>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</si>
  <si>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0240074880</t>
  </si>
  <si>
    <t>0310010210</t>
  </si>
  <si>
    <t>0320010210</t>
  </si>
  <si>
    <t>0320077440</t>
  </si>
  <si>
    <t>0330010210</t>
  </si>
  <si>
    <t>0340010210</t>
  </si>
  <si>
    <t>Иной межбюджетный трансферт в целях содействия достижению и поощрения достижения наилучших значений эффективности деятельности органов местного самоуправления и муниципальных районов в рамках подпрограммы " Стимулирование органов местного самоуправления к</t>
  </si>
  <si>
    <t>Осуществление полномочий по внутреннему муниципальному финансовому контролю</t>
  </si>
  <si>
    <t>Иной межбюджетный трансферт бюджетам муниципальных образований на реализацию мероприятий, направленных на повышение безопасности дорожного движения</t>
  </si>
  <si>
    <t>9210084550</t>
  </si>
  <si>
    <t>от 20.12.2018 №27-262</t>
  </si>
  <si>
    <t>Приложение № 4</t>
  </si>
  <si>
    <t>от 20.12.2018 №  27-262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</si>
  <si>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</si>
  <si>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</t>
  </si>
  <si>
    <t>109D276450</t>
  </si>
  <si>
    <t>Приобретение автотранспорта</t>
  </si>
  <si>
    <t>953</t>
  </si>
  <si>
    <t>014Р352930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</si>
  <si>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</t>
  </si>
  <si>
    <t>Субсидии бюджетам муниципальных районов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культуры и спорта</t>
  </si>
  <si>
    <t>0330074370</t>
  </si>
  <si>
    <t>Реализация мероприятий по осуществлению (возмещению)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</si>
  <si>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03200S8400</t>
  </si>
  <si>
    <t>Иной межбюджетный трансферт бюджетам муниципальных образований на капитальный ремонт и ремонт автомобильных дорог общего пользования местного значения</t>
  </si>
  <si>
    <t>Иной межбюджетный трансферт бюджетам муниципальных образований на реализацию проектов по благоустройству территорий сельских населенных пунктов и городских поселений</t>
  </si>
  <si>
    <t>0620077410</t>
  </si>
  <si>
    <t>Иной межбюджетный трансферт бюджетам муниципальных образований на софинансирование муниципальных программ формирования современной городской среды</t>
  </si>
  <si>
    <t>062F255550</t>
  </si>
  <si>
    <t>ДРУГИЕ ВОПРОСЫ В ОБЛАСТИ ЖИЛИЩНО-КОММУНАЛЬНОГО ХОЗЯЙСТВА</t>
  </si>
  <si>
    <t>0505</t>
  </si>
  <si>
    <t>0730075710</t>
  </si>
  <si>
    <t>062F55550</t>
  </si>
  <si>
    <t>Массовый спорт</t>
  </si>
  <si>
    <t>1102</t>
  </si>
  <si>
    <t>1310074180</t>
  </si>
  <si>
    <t>Иной межбюджетный трансферт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</si>
  <si>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 xml:space="preserve">Субсидии бюджетам муниципальных образований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</t>
  </si>
  <si>
    <t>02400L4670</t>
  </si>
  <si>
    <t xml:space="preserve">Субсидии бюджетам муниципальных районов и городских округов на поддержку спортивных клубов 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</si>
  <si>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</si>
  <si>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Иной межбюджетный трансферт  бюджетам муниципальных образований на поддержку спортивных клубов</t>
  </si>
  <si>
    <t>Развитие системы патриотического воспитания в рамках деятельности муниципальных молодежных центров</t>
  </si>
  <si>
    <t>04200S4540</t>
  </si>
  <si>
    <t>Поддержка спортивных клубов</t>
  </si>
  <si>
    <t>13100S4180</t>
  </si>
  <si>
    <t>02400S4880</t>
  </si>
  <si>
    <t>102R374920</t>
  </si>
  <si>
    <t>Иные межбюджетные трансферты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</si>
  <si>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Жилищное хозяйство</t>
  </si>
  <si>
    <t>0501</t>
  </si>
  <si>
    <t>111F367484</t>
  </si>
  <si>
    <t>111F367483</t>
  </si>
  <si>
    <t>9210010380</t>
  </si>
  <si>
    <t>Субсидии</t>
  </si>
  <si>
    <t xml:space="preserve">Субсидии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</si>
  <si>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</si>
  <si>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</t>
  </si>
  <si>
    <t>8510010380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</si>
  <si>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</t>
  </si>
  <si>
    <t>0990076070</t>
  </si>
  <si>
    <t>04012</t>
  </si>
  <si>
    <t>0810010380</t>
  </si>
  <si>
    <t>0220010380</t>
  </si>
  <si>
    <t>9170010380</t>
  </si>
  <si>
    <t>0310077440</t>
  </si>
  <si>
    <t>0320010370</t>
  </si>
  <si>
    <t>Субсидии бюджетам муниципальных районов Красноярского края на осуществление (возмещение) расходов, направленных на развитие и повышение качества работы муниципальных учреждений</t>
  </si>
  <si>
    <t>0320078400</t>
  </si>
  <si>
    <t>0330010370</t>
  </si>
  <si>
    <t>0330010480</t>
  </si>
  <si>
    <t>0340010380</t>
  </si>
  <si>
    <t>0240010370</t>
  </si>
  <si>
    <t>0240010380</t>
  </si>
  <si>
    <t>0410010380</t>
  </si>
  <si>
    <t>Субсидии бюджетам муниципальных образований Красноярского края на развитие системы патриотического воспитания в рамках деятельности муниципальных молодежных центров в 2019 году</t>
  </si>
  <si>
    <t>0420074540</t>
  </si>
  <si>
    <t>0 240010370</t>
  </si>
  <si>
    <t>0 240010380</t>
  </si>
  <si>
    <t>0150010380</t>
  </si>
  <si>
    <t>0 150010380</t>
  </si>
  <si>
    <t>955</t>
  </si>
  <si>
    <t>957</t>
  </si>
  <si>
    <t xml:space="preserve">Иной межбюджетный трансферт в целях содействия достижению и поощрения достижения наилучших значений эффективности деятельности органов местного самоуправления и муниципальных районов в рамках подпрограммы " Стимулирование органов местного самоуправления </t>
  </si>
  <si>
    <t>Реализация мероприятий по капитальному ремонту, реконструкции, модернизации и строительству объектов водоснабжения коммунальной инфраструктуры</t>
  </si>
  <si>
    <t>Средства на повышение с 1 октября 2019 года на 4,3 процента заработной платы работников бюджетной сферы, за исключением заработной платы отдельных категорий работников, увеличение которых осуществляется в соответствии с указами Президента РФ, предусматривающими мероприятия по повышению заработной платы, а также в связи с увеличением региональных выплат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</si>
  <si>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 в муниципальных образовательных учреждениях</t>
  </si>
  <si>
    <t>Оценка недвижимости , признание прав и регулирование отношений по государственной и муниципальной собственности</t>
  </si>
  <si>
    <t>Оплата взносов за капитальный ремонт региональному фонду</t>
  </si>
  <si>
    <t>Осуществление полномочий по градостроительной деятельности</t>
  </si>
  <si>
    <t>Содержание имущества, находящегося в муниципальной собственности</t>
  </si>
  <si>
    <t>0810010210</t>
  </si>
  <si>
    <t>Средства на првышение минимальных размеров окладов (должностных окладов), ставок заработной платы работников бюджетной сферы, которым прпедоставляется региональная выплата, и выплату заработной платы отдельным категориям работников в части, соответствующейразмерам заработной платы, установленным для целей расчета региональной выплаты, в  вязи с повышением размеров их оплаты труда</t>
  </si>
  <si>
    <t>0320010230</t>
  </si>
  <si>
    <t>Субвенция бюджетам муниципальных образований на организацию и осуществление деятельности по опеке и попечительству в отношении совершеннолетнх граждан, а также в сфере патронажа</t>
  </si>
  <si>
    <t>8510002890</t>
  </si>
  <si>
    <t>Приложение №5</t>
  </si>
  <si>
    <t>Утверждено решением о бюджете на 2019 год</t>
  </si>
  <si>
    <t>Утверждено сводной росписью на 2019 год</t>
  </si>
  <si>
    <t>Исполнено на 2019 год</t>
  </si>
  <si>
    <t>-</t>
  </si>
  <si>
    <t>% исполнения</t>
  </si>
  <si>
    <t>Н.Н. Битнер</t>
  </si>
  <si>
    <t>(ФИО)</t>
  </si>
  <si>
    <t xml:space="preserve">Начальник экономического отдела Финансово-экономического </t>
  </si>
  <si>
    <t>управления администрации Мотыгинского района</t>
  </si>
  <si>
    <t>(подпись)</t>
  </si>
  <si>
    <t>Сводный годовой отчет о ходе реализации муниципальных программам Мотыгинского района за 2019 год</t>
  </si>
  <si>
    <t>Подпрограмма 2 "Социальная поддержка семей, имеющих детей"</t>
  </si>
  <si>
    <t>Подпрограмма 3 "Обеспечение социальной поддержки граждан на оплату жилого помещения и коммунальных услуг."</t>
  </si>
  <si>
    <t>Подпрограмма 1 "Повышение качества жизни отдельных категорий граждан в т.ч. инвалидов, степени их социальной защищенности"</t>
  </si>
  <si>
    <t>Подпрограмма 4 "Повышение качества и доступности социальных услуг населению"</t>
  </si>
  <si>
    <t>Подпрограмма 5 "Обеспечение реализации муниципальных программ"</t>
  </si>
  <si>
    <t>Подпрограмма 1 "Культурное наследие"</t>
  </si>
  <si>
    <t>Подпрограмма 2 "Развитие архивного дела в Мотыгинском районе"</t>
  </si>
  <si>
    <t>Подпрограмма 3 "Искусство и народное творчество"</t>
  </si>
  <si>
    <t>Подпрограмма 4 "Обеспечение условий реализации муниципальной программы и прочие мероприятия"</t>
  </si>
  <si>
    <t>Подпрограмма 5 "Развитие внутреннего и въездного туризма"</t>
  </si>
  <si>
    <t>Подпрограмма 1 "Развитие дошкольного образования"</t>
  </si>
  <si>
    <t>Подпрограмма 2 «Развитие  общего образования»</t>
  </si>
  <si>
    <t>Подпрограмма 3 «Развитие дополнительного образования детей»</t>
  </si>
  <si>
    <t>Подпрограмма 4 «Обеспечение реализации муниципальной программы"</t>
  </si>
  <si>
    <t>Подпрограмма 1 «Вовлечение молодежи Мотыгинского района в социальную практику "</t>
  </si>
  <si>
    <t>Подпрограмма 2 "Патриотическое воспитание молодежи Мотыгинского района"</t>
  </si>
  <si>
    <t>Подпрограмма 3 "Обеспечение реализации общественных и гражданских инициатив и поддержка социально ориентированных некоммерческих организаций"</t>
  </si>
  <si>
    <t>Подпрограмма 1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Мотыгинского района"</t>
  </si>
  <si>
    <t>Подпрограмма 2 "Обеспечение реализации муниципальной программы и прочие мероприятия"</t>
  </si>
  <si>
    <t>Отдельное мероприятие программы "Организация общественных работ на территории Мотыгинского района, обеспечивающих временную занятость и материальную поддержку безработных граждан"</t>
  </si>
  <si>
    <t>Подпрограмма 1 "Эффективное управление муниципальной собственностью"</t>
  </si>
  <si>
    <t>Подпрограмма 2 "Благоустройство территорий поселений"</t>
  </si>
  <si>
    <t>Подпрограмма 1 "Чистая вода Мотыгинского района"</t>
  </si>
  <si>
    <t>Подпрограмма 2 "Энергосбережение и повышение энергетической эффективности Мотыгинского района"</t>
  </si>
  <si>
    <t xml:space="preserve">Подпрограмма 3 "Повышение устойчивости и перспективное развитие коммунальной инфраструктуры Мотыгинского района" </t>
  </si>
  <si>
    <t>Подпрограмма 1 "Осуществление деятельности по обеспечению безопасности в чрезвычайных ситуациях"</t>
  </si>
  <si>
    <t>Подпрограмма 2 "Профилактика правонарушений и укрепление общественного порядка и общественной безопасности</t>
  </si>
  <si>
    <t>Отдельное мероприятие программы "Субсидии бюджетам муниципальных образований на создание условий для развития услуг связи в малочисленных и труднодоступных населенных пунктах"</t>
  </si>
  <si>
    <t>Подпрограмма 1 "Развитие воздушного, водного и автомобильного пассажирского транспорта."</t>
  </si>
  <si>
    <t>Подпрограмма 2 "Безопасность дорожного движения в Мотыгинском районе "</t>
  </si>
  <si>
    <t>Подпрограмма 3 "Капитальный ремонт и ремонт автомобильных дорог общего пользования местного значения"</t>
  </si>
  <si>
    <t>Подпрограмма 4 "Содержание автомобильных дорог общего пользования местного значения "</t>
  </si>
  <si>
    <t>Подпрограмма 1 "Переселение граждан из аварийного жилищного фонда в Мотыгинском районе"</t>
  </si>
  <si>
    <t>Подпрограмма 2 "Территориальное планирование, градостроительное зонирование и документация по планировке территории Мотыгинского района"</t>
  </si>
  <si>
    <t>Подпрограмма 3 "Обеспечение работников органов местного самоуправления, муниципальных предприятий и учреждений Мотыгинского района служебным жильем за счет средств бюджета муниципального образования"</t>
  </si>
  <si>
    <t>Подпрограмма 4 "Обеспечение жилыми помещениями детей-сирот и детей, оставшихся без попечения родителей, лиц из числа детей сирот и детей оставшихся без попечения родителей "</t>
  </si>
  <si>
    <t>Отдельное мероприятие "Обеспечение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</si>
</sst>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?"/>
  </numFmts>
  <fonts count="1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7" fillId="0" borderId="0"/>
    <xf numFmtId="0" fontId="9" fillId="0" borderId="0"/>
    <xf numFmtId="164" fontId="11" fillId="0" borderId="0" applyFont="0" applyFill="0" applyBorder="0" applyAlignment="0" applyProtection="0"/>
    <xf numFmtId="0" fontId="15" fillId="0" borderId="0"/>
  </cellStyleXfs>
  <cellXfs count="2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 horizontal="justify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3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3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2" fontId="2" fillId="0" borderId="0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4" fontId="10" fillId="3" borderId="1" xfId="3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164" fontId="2" fillId="3" borderId="1" xfId="3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 wrapText="1" shrinkToFit="1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64" fontId="2" fillId="0" borderId="1" xfId="3" applyFont="1" applyFill="1" applyBorder="1" applyAlignment="1">
      <alignment horizontal="center"/>
    </xf>
    <xf numFmtId="164" fontId="10" fillId="0" borderId="1" xfId="3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justify" vertical="center" wrapText="1"/>
    </xf>
    <xf numFmtId="0" fontId="6" fillId="0" borderId="1" xfId="0" quotePrefix="1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quotePrefix="1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7" fontId="5" fillId="0" borderId="8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167" fontId="5" fillId="0" borderId="8" xfId="4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4" fontId="2" fillId="0" borderId="0" xfId="3" applyFont="1" applyFill="1"/>
    <xf numFmtId="166" fontId="2" fillId="0" borderId="0" xfId="0" applyNumberFormat="1" applyFont="1" applyFill="1"/>
    <xf numFmtId="0" fontId="2" fillId="0" borderId="1" xfId="0" applyFont="1" applyBorder="1" applyAlignment="1">
      <alignment horizontal="center" vertical="center"/>
    </xf>
    <xf numFmtId="164" fontId="2" fillId="0" borderId="3" xfId="3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2" borderId="1" xfId="0" applyNumberFormat="1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167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167" fontId="5" fillId="0" borderId="1" xfId="4" applyNumberFormat="1" applyFont="1" applyBorder="1" applyAlignment="1" applyProtection="1">
      <alignment horizontal="left" vertical="center" wrapText="1"/>
    </xf>
    <xf numFmtId="49" fontId="1" fillId="0" borderId="1" xfId="4" applyNumberFormat="1" applyFont="1" applyBorder="1" applyAlignment="1" applyProtection="1">
      <alignment horizontal="left" vertical="center" wrapText="1"/>
    </xf>
    <xf numFmtId="0" fontId="3" fillId="0" borderId="1" xfId="0" quotePrefix="1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0" xfId="0" applyNumberFormat="1" applyFont="1" applyFill="1"/>
    <xf numFmtId="0" fontId="2" fillId="0" borderId="1" xfId="0" applyFont="1" applyBorder="1" applyAlignment="1">
      <alignment horizontal="center" vertical="center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164" fontId="10" fillId="4" borderId="1" xfId="3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4" borderId="0" xfId="0" applyFont="1" applyFill="1" applyAlignment="1">
      <alignment horizontal="justify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164" fontId="2" fillId="0" borderId="3" xfId="3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" xfId="3" applyNumberFormat="1" applyFont="1" applyFill="1" applyBorder="1" applyAlignment="1">
      <alignment horizontal="right" vertical="center" indent="2"/>
    </xf>
    <xf numFmtId="0" fontId="10" fillId="4" borderId="0" xfId="0" applyFont="1" applyFill="1"/>
    <xf numFmtId="164" fontId="10" fillId="4" borderId="2" xfId="0" applyNumberFormat="1" applyFont="1" applyFill="1" applyBorder="1" applyAlignment="1">
      <alignment vertical="center"/>
    </xf>
    <xf numFmtId="2" fontId="10" fillId="4" borderId="1" xfId="3" applyNumberFormat="1" applyFont="1" applyFill="1" applyBorder="1" applyAlignment="1">
      <alignment horizontal="right" vertical="center" indent="2"/>
    </xf>
    <xf numFmtId="2" fontId="10" fillId="4" borderId="2" xfId="0" applyNumberFormat="1" applyFont="1" applyFill="1" applyBorder="1" applyAlignment="1">
      <alignment horizontal="right" vertical="center" indent="2"/>
    </xf>
    <xf numFmtId="164" fontId="2" fillId="0" borderId="2" xfId="0" applyNumberFormat="1" applyFont="1" applyFill="1" applyBorder="1" applyAlignment="1">
      <alignment horizontal="right" vertical="center" indent="2"/>
    </xf>
    <xf numFmtId="2" fontId="2" fillId="0" borderId="2" xfId="0" applyNumberFormat="1" applyFont="1" applyFill="1" applyBorder="1" applyAlignment="1">
      <alignment horizontal="right" vertical="center" indent="2"/>
    </xf>
    <xf numFmtId="164" fontId="2" fillId="0" borderId="1" xfId="3" applyFont="1" applyFill="1" applyBorder="1" applyAlignment="1">
      <alignment horizontal="right" vertical="center" indent="2"/>
    </xf>
    <xf numFmtId="164" fontId="2" fillId="0" borderId="0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2" fillId="2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2" fillId="0" borderId="1" xfId="3" applyFont="1" applyFill="1" applyBorder="1" applyAlignment="1">
      <alignment horizontal="right" vertical="center" indent="4"/>
    </xf>
    <xf numFmtId="0" fontId="2" fillId="0" borderId="1" xfId="0" applyFont="1" applyBorder="1" applyAlignment="1">
      <alignment horizontal="left" vertical="center" wrapText="1" indent="2"/>
    </xf>
    <xf numFmtId="0" fontId="2" fillId="0" borderId="0" xfId="0" applyFont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3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/>
    </xf>
    <xf numFmtId="0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3" xfId="0" quotePrefix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 indent="2"/>
    </xf>
    <xf numFmtId="2" fontId="0" fillId="0" borderId="5" xfId="0" applyNumberFormat="1" applyFont="1" applyBorder="1" applyAlignment="1">
      <alignment horizontal="right" vertical="center" indent="2"/>
    </xf>
    <xf numFmtId="2" fontId="0" fillId="0" borderId="3" xfId="0" applyNumberFormat="1" applyFont="1" applyBorder="1" applyAlignment="1">
      <alignment horizontal="right" vertical="center" indent="2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justify" vertical="center" wrapText="1"/>
    </xf>
    <xf numFmtId="0" fontId="5" fillId="0" borderId="5" xfId="1" applyNumberFormat="1" applyFont="1" applyFill="1" applyBorder="1" applyAlignment="1">
      <alignment horizontal="justify" vertical="center" wrapText="1"/>
    </xf>
    <xf numFmtId="0" fontId="5" fillId="0" borderId="3" xfId="1" applyNumberFormat="1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167" fontId="5" fillId="0" borderId="2" xfId="0" applyNumberFormat="1" applyFont="1" applyBorder="1" applyAlignment="1" applyProtection="1">
      <alignment horizontal="center" vertical="center" wrapText="1"/>
    </xf>
    <xf numFmtId="167" fontId="5" fillId="0" borderId="3" xfId="0" applyNumberFormat="1" applyFont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>
      <alignment horizontal="justify" vertical="center" wrapText="1"/>
    </xf>
    <xf numFmtId="0" fontId="3" fillId="0" borderId="5" xfId="0" applyNumberFormat="1" applyFont="1" applyFill="1" applyBorder="1" applyAlignment="1">
      <alignment horizontal="justify" vertical="center" wrapText="1"/>
    </xf>
    <xf numFmtId="0" fontId="3" fillId="0" borderId="3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 indent="1"/>
    </xf>
    <xf numFmtId="0" fontId="5" fillId="0" borderId="2" xfId="0" applyNumberFormat="1" applyFont="1" applyFill="1" applyBorder="1" applyAlignment="1">
      <alignment horizontal="justify" vertical="center" wrapText="1"/>
    </xf>
    <xf numFmtId="0" fontId="5" fillId="0" borderId="3" xfId="0" applyNumberFormat="1" applyFont="1" applyFill="1" applyBorder="1" applyAlignment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  <protection locked="0"/>
    </xf>
    <xf numFmtId="0" fontId="5" fillId="0" borderId="5" xfId="0" applyFont="1" applyFill="1" applyBorder="1" applyAlignment="1" applyProtection="1">
      <alignment horizontal="justify" vertical="center" wrapText="1"/>
      <protection locked="0"/>
    </xf>
    <xf numFmtId="0" fontId="5" fillId="0" borderId="3" xfId="0" applyFont="1" applyFill="1" applyBorder="1" applyAlignment="1" applyProtection="1">
      <alignment horizontal="justify" vertical="center" wrapText="1"/>
      <protection locked="0"/>
    </xf>
    <xf numFmtId="0" fontId="2" fillId="2" borderId="1" xfId="0" applyNumberFormat="1" applyFont="1" applyFill="1" applyBorder="1" applyAlignment="1">
      <alignment horizontal="justify" vertical="center" wrapText="1"/>
    </xf>
    <xf numFmtId="0" fontId="3" fillId="0" borderId="2" xfId="0" quotePrefix="1" applyNumberFormat="1" applyFont="1" applyFill="1" applyBorder="1" applyAlignment="1">
      <alignment horizontal="justify" vertical="center" wrapText="1"/>
    </xf>
    <xf numFmtId="0" fontId="3" fillId="0" borderId="5" xfId="0" quotePrefix="1" applyNumberFormat="1" applyFont="1" applyFill="1" applyBorder="1" applyAlignment="1">
      <alignment horizontal="justify" vertical="center" wrapText="1"/>
    </xf>
    <xf numFmtId="0" fontId="3" fillId="0" borderId="3" xfId="0" quotePrefix="1" applyNumberFormat="1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right" indent="2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justify" vertical="center" wrapText="1"/>
    </xf>
    <xf numFmtId="2" fontId="2" fillId="0" borderId="2" xfId="0" applyNumberFormat="1" applyFont="1" applyBorder="1" applyAlignment="1">
      <alignment horizontal="right" indent="2"/>
    </xf>
    <xf numFmtId="2" fontId="0" fillId="0" borderId="3" xfId="0" applyNumberFormat="1" applyFont="1" applyBorder="1" applyAlignment="1">
      <alignment horizontal="right" indent="2"/>
    </xf>
  </cellXfs>
  <cellStyles count="5">
    <cellStyle name="Обычный" xfId="0" builtinId="0"/>
    <cellStyle name="Обычный 2" xfId="2"/>
    <cellStyle name="Обычный_Лист1" xfId="1"/>
    <cellStyle name="Обычный_приложение 6" xfId="4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16"/>
  <sheetViews>
    <sheetView zoomScale="80" zoomScaleNormal="80" zoomScaleSheetLayoutView="93" workbookViewId="0">
      <selection activeCell="L443" sqref="L443"/>
    </sheetView>
  </sheetViews>
  <sheetFormatPr defaultRowHeight="15" x14ac:dyDescent="0.25"/>
  <cols>
    <col min="1" max="1" width="7.85546875" style="1" customWidth="1"/>
    <col min="2" max="2" width="95.42578125" style="2" customWidth="1"/>
    <col min="3" max="4" width="11.140625" style="3" customWidth="1"/>
    <col min="5" max="5" width="12.7109375" style="3" customWidth="1"/>
    <col min="6" max="6" width="9.140625" style="3" customWidth="1"/>
    <col min="7" max="7" width="17.140625" style="5" customWidth="1"/>
    <col min="8" max="8" width="15.28515625" style="5" customWidth="1"/>
    <col min="9" max="9" width="16" style="5" customWidth="1"/>
    <col min="10" max="10" width="13.5703125" style="73" customWidth="1"/>
    <col min="11" max="11" width="9.5703125" style="73" customWidth="1"/>
    <col min="12" max="13" width="9.5703125" style="73" bestFit="1" customWidth="1"/>
    <col min="14" max="17" width="9.140625" style="73"/>
    <col min="18" max="16384" width="9.140625" style="1"/>
  </cols>
  <sheetData>
    <row r="1" spans="1:9" x14ac:dyDescent="0.25">
      <c r="F1" s="4" t="s">
        <v>482</v>
      </c>
    </row>
    <row r="2" spans="1:9" x14ac:dyDescent="0.25">
      <c r="F2" s="6" t="s">
        <v>197</v>
      </c>
    </row>
    <row r="3" spans="1:9" x14ac:dyDescent="0.25">
      <c r="F3" s="6" t="s">
        <v>326</v>
      </c>
    </row>
    <row r="4" spans="1:9" x14ac:dyDescent="0.25">
      <c r="F4" s="6" t="s">
        <v>199</v>
      </c>
    </row>
    <row r="6" spans="1:9" x14ac:dyDescent="0.25">
      <c r="F6" s="4" t="s">
        <v>198</v>
      </c>
    </row>
    <row r="7" spans="1:9" ht="21.75" customHeight="1" x14ac:dyDescent="0.25">
      <c r="F7" s="6" t="s">
        <v>197</v>
      </c>
    </row>
    <row r="8" spans="1:9" ht="15.75" customHeight="1" x14ac:dyDescent="0.25">
      <c r="F8" s="6" t="s">
        <v>326</v>
      </c>
    </row>
    <row r="9" spans="1:9" ht="19.5" customHeight="1" x14ac:dyDescent="0.25">
      <c r="F9" s="6" t="s">
        <v>481</v>
      </c>
    </row>
    <row r="12" spans="1:9" x14ac:dyDescent="0.25">
      <c r="A12" s="187" t="s">
        <v>13</v>
      </c>
      <c r="B12" s="187"/>
      <c r="C12" s="187"/>
      <c r="D12" s="187"/>
      <c r="E12" s="187"/>
      <c r="F12" s="187"/>
      <c r="G12" s="187"/>
      <c r="H12" s="187"/>
      <c r="I12" s="187"/>
    </row>
    <row r="13" spans="1:9" x14ac:dyDescent="0.25">
      <c r="A13" s="187" t="s">
        <v>340</v>
      </c>
      <c r="B13" s="187"/>
      <c r="C13" s="187"/>
      <c r="D13" s="187"/>
      <c r="E13" s="187"/>
      <c r="F13" s="187"/>
      <c r="G13" s="187"/>
      <c r="H13" s="187"/>
      <c r="I13" s="187"/>
    </row>
    <row r="14" spans="1:9" x14ac:dyDescent="0.25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9"/>
      <c r="B15" s="10"/>
      <c r="C15" s="11"/>
      <c r="D15" s="11"/>
      <c r="E15" s="11"/>
      <c r="H15" s="8"/>
      <c r="I15" s="8" t="s">
        <v>0</v>
      </c>
    </row>
    <row r="16" spans="1:9" ht="30" x14ac:dyDescent="0.25">
      <c r="A16" s="12" t="s">
        <v>1</v>
      </c>
      <c r="B16" s="12" t="s">
        <v>2</v>
      </c>
      <c r="C16" s="13" t="s">
        <v>3</v>
      </c>
      <c r="D16" s="13" t="s">
        <v>4</v>
      </c>
      <c r="E16" s="13" t="s">
        <v>5</v>
      </c>
      <c r="F16" s="13" t="s">
        <v>6</v>
      </c>
      <c r="G16" s="14" t="s">
        <v>205</v>
      </c>
      <c r="H16" s="14" t="s">
        <v>221</v>
      </c>
      <c r="I16" s="14" t="s">
        <v>341</v>
      </c>
    </row>
    <row r="17" spans="1:11" x14ac:dyDescent="0.25">
      <c r="A17" s="15"/>
      <c r="B17" s="13" t="s">
        <v>7</v>
      </c>
      <c r="C17" s="13" t="s">
        <v>8</v>
      </c>
      <c r="D17" s="13" t="s">
        <v>9</v>
      </c>
      <c r="E17" s="13" t="s">
        <v>10</v>
      </c>
      <c r="F17" s="13" t="s">
        <v>11</v>
      </c>
      <c r="G17" s="14" t="s">
        <v>12</v>
      </c>
      <c r="H17" s="16">
        <v>7</v>
      </c>
      <c r="I17" s="16">
        <v>8</v>
      </c>
    </row>
    <row r="18" spans="1:11" ht="34.5" customHeight="1" x14ac:dyDescent="0.25">
      <c r="A18" s="48">
        <v>1</v>
      </c>
      <c r="B18" s="53" t="s">
        <v>304</v>
      </c>
      <c r="C18" s="50" t="s">
        <v>216</v>
      </c>
      <c r="D18" s="46"/>
      <c r="E18" s="46"/>
      <c r="F18" s="46"/>
      <c r="G18" s="47">
        <f>G19+G50+G64+G128+G90+G57+G121</f>
        <v>193662.55600000001</v>
      </c>
      <c r="H18" s="47">
        <f>H19+H50+H64+H128+H90+H57+H121</f>
        <v>105143.72600000001</v>
      </c>
      <c r="I18" s="47">
        <f>I19+I50+I64+I128+I90+I57+I121</f>
        <v>105756.69300000001</v>
      </c>
    </row>
    <row r="19" spans="1:11" x14ac:dyDescent="0.25">
      <c r="A19" s="22">
        <v>2</v>
      </c>
      <c r="B19" s="57" t="s">
        <v>115</v>
      </c>
      <c r="C19" s="23" t="s">
        <v>216</v>
      </c>
      <c r="D19" s="23" t="s">
        <v>116</v>
      </c>
      <c r="E19" s="22"/>
      <c r="F19" s="22"/>
      <c r="G19" s="18">
        <f>G20+G41</f>
        <v>14017.359999999999</v>
      </c>
      <c r="H19" s="18">
        <f>H20+H41</f>
        <v>13588.14</v>
      </c>
      <c r="I19" s="18">
        <f>I20+I41</f>
        <v>13588.14</v>
      </c>
    </row>
    <row r="20" spans="1:11" ht="30" x14ac:dyDescent="0.25">
      <c r="A20" s="48">
        <v>3</v>
      </c>
      <c r="B20" s="81" t="s">
        <v>14</v>
      </c>
      <c r="C20" s="23" t="s">
        <v>216</v>
      </c>
      <c r="D20" s="39" t="s">
        <v>122</v>
      </c>
      <c r="E20" s="111"/>
      <c r="F20" s="111"/>
      <c r="G20" s="18">
        <f>G21+G33</f>
        <v>13951.56</v>
      </c>
      <c r="H20" s="18">
        <f>H21+H33</f>
        <v>13522.84</v>
      </c>
      <c r="I20" s="18">
        <f>I21+I33</f>
        <v>13522.84</v>
      </c>
    </row>
    <row r="21" spans="1:11" x14ac:dyDescent="0.25">
      <c r="A21" s="22">
        <v>4</v>
      </c>
      <c r="B21" s="112" t="s">
        <v>15</v>
      </c>
      <c r="C21" s="23" t="s">
        <v>216</v>
      </c>
      <c r="D21" s="39" t="s">
        <v>122</v>
      </c>
      <c r="E21" s="39" t="s">
        <v>225</v>
      </c>
      <c r="F21" s="111"/>
      <c r="G21" s="18">
        <f>G22</f>
        <v>13843.56</v>
      </c>
      <c r="H21" s="18">
        <f t="shared" ref="H21:I21" si="0">H22</f>
        <v>13521.84</v>
      </c>
      <c r="I21" s="18">
        <f t="shared" si="0"/>
        <v>13521.84</v>
      </c>
    </row>
    <row r="22" spans="1:11" x14ac:dyDescent="0.25">
      <c r="A22" s="48">
        <v>5</v>
      </c>
      <c r="B22" s="112" t="s">
        <v>16</v>
      </c>
      <c r="C22" s="23" t="s">
        <v>216</v>
      </c>
      <c r="D22" s="39" t="s">
        <v>122</v>
      </c>
      <c r="E22" s="39" t="s">
        <v>226</v>
      </c>
      <c r="F22" s="111"/>
      <c r="G22" s="18">
        <f>G26+G23</f>
        <v>13843.56</v>
      </c>
      <c r="H22" s="18">
        <f>H26</f>
        <v>13521.84</v>
      </c>
      <c r="I22" s="18">
        <f>I26</f>
        <v>13521.84</v>
      </c>
    </row>
    <row r="23" spans="1:11" ht="30" x14ac:dyDescent="0.25">
      <c r="A23" s="22">
        <v>6</v>
      </c>
      <c r="B23" s="112" t="s">
        <v>443</v>
      </c>
      <c r="C23" s="23" t="s">
        <v>216</v>
      </c>
      <c r="D23" s="39" t="s">
        <v>122</v>
      </c>
      <c r="E23" s="39" t="s">
        <v>444</v>
      </c>
      <c r="F23" s="111"/>
      <c r="G23" s="18">
        <f>G24</f>
        <v>246.8</v>
      </c>
      <c r="H23" s="18"/>
      <c r="I23" s="18"/>
    </row>
    <row r="24" spans="1:11" ht="45" x14ac:dyDescent="0.25">
      <c r="A24" s="48">
        <v>7</v>
      </c>
      <c r="B24" s="81" t="s">
        <v>17</v>
      </c>
      <c r="C24" s="23" t="s">
        <v>216</v>
      </c>
      <c r="D24" s="39" t="s">
        <v>122</v>
      </c>
      <c r="E24" s="39" t="s">
        <v>444</v>
      </c>
      <c r="F24" s="111">
        <v>100</v>
      </c>
      <c r="G24" s="18">
        <f>G25</f>
        <v>246.8</v>
      </c>
      <c r="H24" s="18"/>
      <c r="I24" s="18"/>
    </row>
    <row r="25" spans="1:11" x14ac:dyDescent="0.25">
      <c r="A25" s="22">
        <v>8</v>
      </c>
      <c r="B25" s="81" t="s">
        <v>18</v>
      </c>
      <c r="C25" s="23" t="s">
        <v>216</v>
      </c>
      <c r="D25" s="39" t="s">
        <v>122</v>
      </c>
      <c r="E25" s="39" t="s">
        <v>444</v>
      </c>
      <c r="F25" s="111">
        <v>120</v>
      </c>
      <c r="G25" s="18">
        <f>134+112.8</f>
        <v>246.8</v>
      </c>
      <c r="H25" s="18"/>
      <c r="I25" s="18"/>
    </row>
    <row r="26" spans="1:11" ht="45" x14ac:dyDescent="0.25">
      <c r="A26" s="48">
        <v>9</v>
      </c>
      <c r="B26" s="80" t="s">
        <v>189</v>
      </c>
      <c r="C26" s="23" t="s">
        <v>216</v>
      </c>
      <c r="D26" s="39" t="s">
        <v>122</v>
      </c>
      <c r="E26" s="39" t="s">
        <v>227</v>
      </c>
      <c r="F26" s="111"/>
      <c r="G26" s="18">
        <f>G27+G29+G31</f>
        <v>13596.76</v>
      </c>
      <c r="H26" s="18">
        <f t="shared" ref="H26:I26" si="1">H27+H29+H31</f>
        <v>13521.84</v>
      </c>
      <c r="I26" s="18">
        <f t="shared" si="1"/>
        <v>13521.84</v>
      </c>
    </row>
    <row r="27" spans="1:11" ht="45" x14ac:dyDescent="0.25">
      <c r="A27" s="22">
        <v>10</v>
      </c>
      <c r="B27" s="81" t="s">
        <v>17</v>
      </c>
      <c r="C27" s="23" t="s">
        <v>216</v>
      </c>
      <c r="D27" s="39" t="s">
        <v>122</v>
      </c>
      <c r="E27" s="39" t="s">
        <v>227</v>
      </c>
      <c r="F27" s="111">
        <v>100</v>
      </c>
      <c r="G27" s="18">
        <f>G28</f>
        <v>11793.58</v>
      </c>
      <c r="H27" s="18">
        <f t="shared" ref="H27:I27" si="2">H28</f>
        <v>11441.16</v>
      </c>
      <c r="I27" s="18">
        <f t="shared" si="2"/>
        <v>11441.16</v>
      </c>
    </row>
    <row r="28" spans="1:11" x14ac:dyDescent="0.25">
      <c r="A28" s="48">
        <v>11</v>
      </c>
      <c r="B28" s="81" t="s">
        <v>18</v>
      </c>
      <c r="C28" s="23" t="s">
        <v>216</v>
      </c>
      <c r="D28" s="39" t="s">
        <v>122</v>
      </c>
      <c r="E28" s="39" t="s">
        <v>227</v>
      </c>
      <c r="F28" s="111">
        <v>120</v>
      </c>
      <c r="G28" s="18">
        <f>11441.16+749.03+60-456.61</f>
        <v>11793.58</v>
      </c>
      <c r="H28" s="18">
        <v>11441.16</v>
      </c>
      <c r="I28" s="18">
        <v>11441.16</v>
      </c>
    </row>
    <row r="29" spans="1:11" x14ac:dyDescent="0.25">
      <c r="A29" s="22">
        <v>12</v>
      </c>
      <c r="B29" s="81" t="s">
        <v>23</v>
      </c>
      <c r="C29" s="23" t="s">
        <v>216</v>
      </c>
      <c r="D29" s="39" t="s">
        <v>122</v>
      </c>
      <c r="E29" s="39" t="s">
        <v>227</v>
      </c>
      <c r="F29" s="111">
        <v>200</v>
      </c>
      <c r="G29" s="18">
        <f>G30</f>
        <v>1798.1799999999998</v>
      </c>
      <c r="H29" s="18">
        <f t="shared" ref="H29:I29" si="3">H30</f>
        <v>2075.6799999999998</v>
      </c>
      <c r="I29" s="18">
        <f t="shared" si="3"/>
        <v>2075.6799999999998</v>
      </c>
    </row>
    <row r="30" spans="1:11" x14ac:dyDescent="0.25">
      <c r="A30" s="48">
        <v>13</v>
      </c>
      <c r="B30" s="81" t="s">
        <v>24</v>
      </c>
      <c r="C30" s="23" t="s">
        <v>216</v>
      </c>
      <c r="D30" s="39" t="s">
        <v>122</v>
      </c>
      <c r="E30" s="39" t="s">
        <v>227</v>
      </c>
      <c r="F30" s="111">
        <v>240</v>
      </c>
      <c r="G30" s="18">
        <f>2075.68-210-67.5</f>
        <v>1798.1799999999998</v>
      </c>
      <c r="H30" s="18">
        <v>2075.6799999999998</v>
      </c>
      <c r="I30" s="18">
        <v>2075.6799999999998</v>
      </c>
      <c r="K30" s="73">
        <v>-67.5</v>
      </c>
    </row>
    <row r="31" spans="1:11" x14ac:dyDescent="0.25">
      <c r="A31" s="22">
        <v>14</v>
      </c>
      <c r="B31" s="80" t="s">
        <v>38</v>
      </c>
      <c r="C31" s="23" t="s">
        <v>216</v>
      </c>
      <c r="D31" s="39" t="s">
        <v>122</v>
      </c>
      <c r="E31" s="39" t="s">
        <v>227</v>
      </c>
      <c r="F31" s="111">
        <v>800</v>
      </c>
      <c r="G31" s="18">
        <f>G32</f>
        <v>5</v>
      </c>
      <c r="H31" s="18">
        <f t="shared" ref="H31:I31" si="4">H32</f>
        <v>5</v>
      </c>
      <c r="I31" s="18">
        <f t="shared" si="4"/>
        <v>5</v>
      </c>
    </row>
    <row r="32" spans="1:11" x14ac:dyDescent="0.25">
      <c r="A32" s="48">
        <v>15</v>
      </c>
      <c r="B32" s="80" t="s">
        <v>108</v>
      </c>
      <c r="C32" s="23" t="s">
        <v>216</v>
      </c>
      <c r="D32" s="39" t="s">
        <v>122</v>
      </c>
      <c r="E32" s="39" t="s">
        <v>227</v>
      </c>
      <c r="F32" s="111">
        <v>850</v>
      </c>
      <c r="G32" s="18">
        <v>5</v>
      </c>
      <c r="H32" s="18">
        <v>5</v>
      </c>
      <c r="I32" s="18">
        <v>5</v>
      </c>
    </row>
    <row r="33" spans="1:9" x14ac:dyDescent="0.25">
      <c r="A33" s="22">
        <v>16</v>
      </c>
      <c r="B33" s="112" t="s">
        <v>26</v>
      </c>
      <c r="C33" s="23" t="s">
        <v>216</v>
      </c>
      <c r="D33" s="39" t="s">
        <v>122</v>
      </c>
      <c r="E33" s="111">
        <v>9200000000</v>
      </c>
      <c r="F33" s="111"/>
      <c r="G33" s="18">
        <f>G34</f>
        <v>108</v>
      </c>
      <c r="H33" s="18">
        <f t="shared" ref="H33:I33" si="5">H34</f>
        <v>1</v>
      </c>
      <c r="I33" s="18">
        <f t="shared" si="5"/>
        <v>1</v>
      </c>
    </row>
    <row r="34" spans="1:9" x14ac:dyDescent="0.25">
      <c r="A34" s="48">
        <v>17</v>
      </c>
      <c r="B34" s="112" t="s">
        <v>350</v>
      </c>
      <c r="C34" s="23" t="s">
        <v>216</v>
      </c>
      <c r="D34" s="39" t="s">
        <v>122</v>
      </c>
      <c r="E34" s="111">
        <v>9210000000</v>
      </c>
      <c r="F34" s="111"/>
      <c r="G34" s="18">
        <f>G38+G35</f>
        <v>108</v>
      </c>
      <c r="H34" s="18">
        <f t="shared" ref="H34:I34" si="6">H38+H35</f>
        <v>1</v>
      </c>
      <c r="I34" s="18">
        <f t="shared" si="6"/>
        <v>1</v>
      </c>
    </row>
    <row r="35" spans="1:9" ht="77.25" customHeight="1" x14ac:dyDescent="0.25">
      <c r="A35" s="22">
        <v>18</v>
      </c>
      <c r="B35" s="106" t="s">
        <v>556</v>
      </c>
      <c r="C35" s="23" t="s">
        <v>216</v>
      </c>
      <c r="D35" s="39" t="s">
        <v>122</v>
      </c>
      <c r="E35" s="111">
        <v>9210010380</v>
      </c>
      <c r="F35" s="111"/>
      <c r="G35" s="18">
        <f>G36</f>
        <v>107</v>
      </c>
      <c r="H35" s="18">
        <f t="shared" ref="H35:I36" si="7">H36</f>
        <v>0</v>
      </c>
      <c r="I35" s="18">
        <f t="shared" si="7"/>
        <v>0</v>
      </c>
    </row>
    <row r="36" spans="1:9" ht="45" x14ac:dyDescent="0.25">
      <c r="A36" s="48">
        <v>19</v>
      </c>
      <c r="B36" s="81" t="s">
        <v>17</v>
      </c>
      <c r="C36" s="23" t="s">
        <v>216</v>
      </c>
      <c r="D36" s="39" t="s">
        <v>122</v>
      </c>
      <c r="E36" s="111">
        <v>9210010380</v>
      </c>
      <c r="F36" s="111">
        <v>100</v>
      </c>
      <c r="G36" s="18">
        <f>G37</f>
        <v>107</v>
      </c>
      <c r="H36" s="18">
        <f t="shared" si="7"/>
        <v>0</v>
      </c>
      <c r="I36" s="18">
        <f t="shared" si="7"/>
        <v>0</v>
      </c>
    </row>
    <row r="37" spans="1:9" x14ac:dyDescent="0.25">
      <c r="A37" s="22">
        <v>20</v>
      </c>
      <c r="B37" s="81" t="s">
        <v>18</v>
      </c>
      <c r="C37" s="23" t="s">
        <v>216</v>
      </c>
      <c r="D37" s="39" t="s">
        <v>122</v>
      </c>
      <c r="E37" s="111">
        <v>9210010380</v>
      </c>
      <c r="F37" s="111">
        <v>120</v>
      </c>
      <c r="G37" s="18">
        <v>107</v>
      </c>
      <c r="H37" s="18">
        <v>0</v>
      </c>
      <c r="I37" s="18">
        <v>0</v>
      </c>
    </row>
    <row r="38" spans="1:9" x14ac:dyDescent="0.25">
      <c r="A38" s="48">
        <v>21</v>
      </c>
      <c r="B38" s="80" t="s">
        <v>478</v>
      </c>
      <c r="C38" s="23" t="s">
        <v>216</v>
      </c>
      <c r="D38" s="39" t="s">
        <v>122</v>
      </c>
      <c r="E38" s="39" t="s">
        <v>480</v>
      </c>
      <c r="F38" s="111"/>
      <c r="G38" s="18">
        <f>G39</f>
        <v>1</v>
      </c>
      <c r="H38" s="18">
        <f t="shared" ref="H38:I39" si="8">H39</f>
        <v>1</v>
      </c>
      <c r="I38" s="18">
        <f t="shared" si="8"/>
        <v>1</v>
      </c>
    </row>
    <row r="39" spans="1:9" x14ac:dyDescent="0.25">
      <c r="A39" s="22">
        <v>22</v>
      </c>
      <c r="B39" s="81" t="s">
        <v>23</v>
      </c>
      <c r="C39" s="23" t="s">
        <v>216</v>
      </c>
      <c r="D39" s="39" t="s">
        <v>122</v>
      </c>
      <c r="E39" s="39" t="s">
        <v>480</v>
      </c>
      <c r="F39" s="111">
        <v>200</v>
      </c>
      <c r="G39" s="18">
        <f>G40</f>
        <v>1</v>
      </c>
      <c r="H39" s="18">
        <f t="shared" si="8"/>
        <v>1</v>
      </c>
      <c r="I39" s="18">
        <f t="shared" si="8"/>
        <v>1</v>
      </c>
    </row>
    <row r="40" spans="1:9" x14ac:dyDescent="0.25">
      <c r="A40" s="48">
        <v>23</v>
      </c>
      <c r="B40" s="81" t="s">
        <v>24</v>
      </c>
      <c r="C40" s="23" t="s">
        <v>216</v>
      </c>
      <c r="D40" s="39" t="s">
        <v>122</v>
      </c>
      <c r="E40" s="39" t="s">
        <v>480</v>
      </c>
      <c r="F40" s="111">
        <v>240</v>
      </c>
      <c r="G40" s="18">
        <v>1</v>
      </c>
      <c r="H40" s="18">
        <v>1</v>
      </c>
      <c r="I40" s="18">
        <v>1</v>
      </c>
    </row>
    <row r="41" spans="1:9" x14ac:dyDescent="0.25">
      <c r="A41" s="22">
        <v>24</v>
      </c>
      <c r="B41" s="80" t="s">
        <v>41</v>
      </c>
      <c r="C41" s="23" t="s">
        <v>216</v>
      </c>
      <c r="D41" s="39" t="s">
        <v>124</v>
      </c>
      <c r="E41" s="111"/>
      <c r="F41" s="111"/>
      <c r="G41" s="18">
        <f>G42</f>
        <v>65.8</v>
      </c>
      <c r="H41" s="18">
        <f t="shared" ref="H41:I41" si="9">H42</f>
        <v>65.3</v>
      </c>
      <c r="I41" s="18">
        <f t="shared" si="9"/>
        <v>65.3</v>
      </c>
    </row>
    <row r="42" spans="1:9" x14ac:dyDescent="0.25">
      <c r="A42" s="48">
        <v>25</v>
      </c>
      <c r="B42" s="112" t="s">
        <v>26</v>
      </c>
      <c r="C42" s="23" t="s">
        <v>216</v>
      </c>
      <c r="D42" s="39" t="s">
        <v>124</v>
      </c>
      <c r="E42" s="111">
        <v>9200000000</v>
      </c>
      <c r="F42" s="111"/>
      <c r="G42" s="18">
        <f>G44+G47</f>
        <v>65.8</v>
      </c>
      <c r="H42" s="18">
        <f t="shared" ref="H42:I42" si="10">H44</f>
        <v>65.3</v>
      </c>
      <c r="I42" s="18">
        <f t="shared" si="10"/>
        <v>65.3</v>
      </c>
    </row>
    <row r="43" spans="1:9" x14ac:dyDescent="0.25">
      <c r="A43" s="22">
        <v>26</v>
      </c>
      <c r="B43" s="112" t="s">
        <v>350</v>
      </c>
      <c r="C43" s="23" t="s">
        <v>216</v>
      </c>
      <c r="D43" s="39" t="s">
        <v>124</v>
      </c>
      <c r="E43" s="111">
        <v>9210000000</v>
      </c>
      <c r="F43" s="111"/>
      <c r="G43" s="18">
        <f>G44</f>
        <v>65.8</v>
      </c>
      <c r="H43" s="18">
        <f t="shared" ref="H43:I44" si="11">H44</f>
        <v>65.3</v>
      </c>
      <c r="I43" s="18">
        <f t="shared" si="11"/>
        <v>65.3</v>
      </c>
    </row>
    <row r="44" spans="1:9" ht="30" x14ac:dyDescent="0.25">
      <c r="A44" s="48">
        <v>27</v>
      </c>
      <c r="B44" s="112" t="s">
        <v>20</v>
      </c>
      <c r="C44" s="23" t="s">
        <v>216</v>
      </c>
      <c r="D44" s="39" t="s">
        <v>124</v>
      </c>
      <c r="E44" s="111">
        <v>9210075140</v>
      </c>
      <c r="F44" s="111"/>
      <c r="G44" s="18">
        <f>G45</f>
        <v>65.8</v>
      </c>
      <c r="H44" s="18">
        <f t="shared" si="11"/>
        <v>65.3</v>
      </c>
      <c r="I44" s="18">
        <f t="shared" si="11"/>
        <v>65.3</v>
      </c>
    </row>
    <row r="45" spans="1:9" x14ac:dyDescent="0.25">
      <c r="A45" s="22">
        <v>28</v>
      </c>
      <c r="B45" s="81" t="s">
        <v>21</v>
      </c>
      <c r="C45" s="23" t="s">
        <v>216</v>
      </c>
      <c r="D45" s="39" t="s">
        <v>124</v>
      </c>
      <c r="E45" s="111">
        <v>9210075140</v>
      </c>
      <c r="F45" s="111">
        <v>500</v>
      </c>
      <c r="G45" s="18">
        <f>G46</f>
        <v>65.8</v>
      </c>
      <c r="H45" s="18">
        <f t="shared" ref="H45:I45" si="12">H46</f>
        <v>65.3</v>
      </c>
      <c r="I45" s="18">
        <f t="shared" si="12"/>
        <v>65.3</v>
      </c>
    </row>
    <row r="46" spans="1:9" x14ac:dyDescent="0.25">
      <c r="A46" s="48">
        <v>29</v>
      </c>
      <c r="B46" s="81" t="s">
        <v>22</v>
      </c>
      <c r="C46" s="23" t="s">
        <v>216</v>
      </c>
      <c r="D46" s="39" t="s">
        <v>124</v>
      </c>
      <c r="E46" s="111">
        <v>9210075140</v>
      </c>
      <c r="F46" s="111">
        <v>530</v>
      </c>
      <c r="G46" s="18">
        <f>65.7-0.4+0.5</f>
        <v>65.8</v>
      </c>
      <c r="H46" s="18">
        <f>65.7-0.4</f>
        <v>65.3</v>
      </c>
      <c r="I46" s="18">
        <f>65.7-0.4</f>
        <v>65.3</v>
      </c>
    </row>
    <row r="47" spans="1:9" x14ac:dyDescent="0.25">
      <c r="A47" s="22">
        <v>30</v>
      </c>
      <c r="B47" s="80" t="s">
        <v>394</v>
      </c>
      <c r="C47" s="23" t="s">
        <v>216</v>
      </c>
      <c r="D47" s="39" t="s">
        <v>124</v>
      </c>
      <c r="E47" s="111">
        <v>9210099990</v>
      </c>
      <c r="F47" s="111"/>
      <c r="G47" s="18">
        <f>G48</f>
        <v>0</v>
      </c>
      <c r="H47" s="18">
        <f t="shared" ref="H47:I48" si="13">H48</f>
        <v>0</v>
      </c>
      <c r="I47" s="18">
        <f t="shared" si="13"/>
        <v>0</v>
      </c>
    </row>
    <row r="48" spans="1:9" x14ac:dyDescent="0.25">
      <c r="A48" s="48">
        <v>31</v>
      </c>
      <c r="B48" s="81" t="s">
        <v>38</v>
      </c>
      <c r="C48" s="23" t="s">
        <v>216</v>
      </c>
      <c r="D48" s="39" t="s">
        <v>124</v>
      </c>
      <c r="E48" s="111">
        <v>9210099990</v>
      </c>
      <c r="F48" s="111">
        <v>800</v>
      </c>
      <c r="G48" s="18">
        <f>G49</f>
        <v>0</v>
      </c>
      <c r="H48" s="18">
        <f t="shared" si="13"/>
        <v>0</v>
      </c>
      <c r="I48" s="18">
        <f t="shared" si="13"/>
        <v>0</v>
      </c>
    </row>
    <row r="49" spans="1:9" x14ac:dyDescent="0.25">
      <c r="A49" s="22">
        <v>32</v>
      </c>
      <c r="B49" s="81" t="s">
        <v>39</v>
      </c>
      <c r="C49" s="23" t="s">
        <v>216</v>
      </c>
      <c r="D49" s="39" t="s">
        <v>124</v>
      </c>
      <c r="E49" s="111">
        <v>9210099990</v>
      </c>
      <c r="F49" s="111">
        <v>870</v>
      </c>
      <c r="G49" s="18">
        <f>2000-1000-808.08-180-11.92+214.35-171.17-1-42.18</f>
        <v>0</v>
      </c>
      <c r="H49" s="18">
        <v>0</v>
      </c>
      <c r="I49" s="18">
        <v>0</v>
      </c>
    </row>
    <row r="50" spans="1:9" x14ac:dyDescent="0.25">
      <c r="A50" s="48">
        <v>33</v>
      </c>
      <c r="B50" s="57" t="s">
        <v>125</v>
      </c>
      <c r="C50" s="23" t="s">
        <v>216</v>
      </c>
      <c r="D50" s="39" t="s">
        <v>126</v>
      </c>
      <c r="E50" s="111"/>
      <c r="F50" s="111"/>
      <c r="G50" s="18">
        <f>G51</f>
        <v>1531.1000000000001</v>
      </c>
      <c r="H50" s="18">
        <f t="shared" ref="H50:I50" si="14">H51</f>
        <v>1531.1</v>
      </c>
      <c r="I50" s="18">
        <f t="shared" si="14"/>
        <v>1550.7</v>
      </c>
    </row>
    <row r="51" spans="1:9" x14ac:dyDescent="0.25">
      <c r="A51" s="22">
        <v>34</v>
      </c>
      <c r="B51" s="81" t="s">
        <v>25</v>
      </c>
      <c r="C51" s="23" t="s">
        <v>216</v>
      </c>
      <c r="D51" s="39" t="s">
        <v>127</v>
      </c>
      <c r="E51" s="111"/>
      <c r="F51" s="111"/>
      <c r="G51" s="18">
        <f>G54</f>
        <v>1531.1000000000001</v>
      </c>
      <c r="H51" s="18">
        <f t="shared" ref="H51:I51" si="15">H54</f>
        <v>1531.1</v>
      </c>
      <c r="I51" s="18">
        <f t="shared" si="15"/>
        <v>1550.7</v>
      </c>
    </row>
    <row r="52" spans="1:9" x14ac:dyDescent="0.25">
      <c r="A52" s="48">
        <v>35</v>
      </c>
      <c r="B52" s="81" t="s">
        <v>26</v>
      </c>
      <c r="C52" s="23" t="s">
        <v>216</v>
      </c>
      <c r="D52" s="39" t="s">
        <v>127</v>
      </c>
      <c r="E52" s="111">
        <v>9200000000</v>
      </c>
      <c r="F52" s="111"/>
      <c r="G52" s="18">
        <f>G54</f>
        <v>1531.1000000000001</v>
      </c>
      <c r="H52" s="18">
        <f>H54</f>
        <v>1531.1</v>
      </c>
      <c r="I52" s="18">
        <f>I54</f>
        <v>1550.7</v>
      </c>
    </row>
    <row r="53" spans="1:9" x14ac:dyDescent="0.25">
      <c r="A53" s="22">
        <v>36</v>
      </c>
      <c r="B53" s="112" t="s">
        <v>350</v>
      </c>
      <c r="C53" s="23" t="s">
        <v>216</v>
      </c>
      <c r="D53" s="39" t="s">
        <v>127</v>
      </c>
      <c r="E53" s="111">
        <v>9210000000</v>
      </c>
      <c r="F53" s="111"/>
      <c r="G53" s="18">
        <f>G54</f>
        <v>1531.1000000000001</v>
      </c>
      <c r="H53" s="18">
        <f t="shared" ref="H53:I53" si="16">H54</f>
        <v>1531.1</v>
      </c>
      <c r="I53" s="18">
        <f t="shared" si="16"/>
        <v>1550.7</v>
      </c>
    </row>
    <row r="54" spans="1:9" ht="45" x14ac:dyDescent="0.25">
      <c r="A54" s="48">
        <v>37</v>
      </c>
      <c r="B54" s="81" t="s">
        <v>27</v>
      </c>
      <c r="C54" s="23" t="s">
        <v>216</v>
      </c>
      <c r="D54" s="39" t="s">
        <v>127</v>
      </c>
      <c r="E54" s="111">
        <v>9210051180</v>
      </c>
      <c r="F54" s="111"/>
      <c r="G54" s="18">
        <f>G55</f>
        <v>1531.1000000000001</v>
      </c>
      <c r="H54" s="18">
        <f t="shared" ref="H54:I55" si="17">H55</f>
        <v>1531.1</v>
      </c>
      <c r="I54" s="18">
        <f t="shared" si="17"/>
        <v>1550.7</v>
      </c>
    </row>
    <row r="55" spans="1:9" x14ac:dyDescent="0.25">
      <c r="A55" s="22">
        <v>38</v>
      </c>
      <c r="B55" s="81" t="s">
        <v>21</v>
      </c>
      <c r="C55" s="23" t="s">
        <v>216</v>
      </c>
      <c r="D55" s="39" t="s">
        <v>127</v>
      </c>
      <c r="E55" s="111">
        <v>9210051180</v>
      </c>
      <c r="F55" s="111">
        <v>500</v>
      </c>
      <c r="G55" s="18">
        <f>G56</f>
        <v>1531.1000000000001</v>
      </c>
      <c r="H55" s="18">
        <f t="shared" si="17"/>
        <v>1531.1</v>
      </c>
      <c r="I55" s="18">
        <f t="shared" si="17"/>
        <v>1550.7</v>
      </c>
    </row>
    <row r="56" spans="1:9" x14ac:dyDescent="0.25">
      <c r="A56" s="48">
        <v>39</v>
      </c>
      <c r="B56" s="81" t="s">
        <v>22</v>
      </c>
      <c r="C56" s="23" t="s">
        <v>216</v>
      </c>
      <c r="D56" s="39" t="s">
        <v>127</v>
      </c>
      <c r="E56" s="111">
        <v>9210051180</v>
      </c>
      <c r="F56" s="111">
        <v>530</v>
      </c>
      <c r="G56" s="18">
        <f>1340.2+190.9</f>
        <v>1531.1000000000001</v>
      </c>
      <c r="H56" s="18">
        <f>1403.6+127.5</f>
        <v>1531.1</v>
      </c>
      <c r="I56" s="18">
        <v>1550.7</v>
      </c>
    </row>
    <row r="57" spans="1:9" x14ac:dyDescent="0.25">
      <c r="A57" s="22">
        <v>40</v>
      </c>
      <c r="B57" s="91" t="s">
        <v>128</v>
      </c>
      <c r="C57" s="23" t="s">
        <v>216</v>
      </c>
      <c r="D57" s="39" t="s">
        <v>129</v>
      </c>
      <c r="E57" s="111"/>
      <c r="F57" s="111"/>
      <c r="G57" s="18">
        <f t="shared" ref="G57:G62" si="18">G58</f>
        <v>572.11</v>
      </c>
      <c r="H57" s="18">
        <f t="shared" ref="H57:H61" si="19">H58</f>
        <v>981.21600000000001</v>
      </c>
      <c r="I57" s="18">
        <f t="shared" ref="I57:I61" si="20">I58</f>
        <v>1373.693</v>
      </c>
    </row>
    <row r="58" spans="1:9" x14ac:dyDescent="0.25">
      <c r="A58" s="48">
        <v>41</v>
      </c>
      <c r="B58" s="80" t="s">
        <v>445</v>
      </c>
      <c r="C58" s="23" t="s">
        <v>216</v>
      </c>
      <c r="D58" s="39" t="s">
        <v>446</v>
      </c>
      <c r="E58" s="111"/>
      <c r="F58" s="111"/>
      <c r="G58" s="18">
        <f t="shared" si="18"/>
        <v>572.11</v>
      </c>
      <c r="H58" s="18">
        <f t="shared" si="19"/>
        <v>981.21600000000001</v>
      </c>
      <c r="I58" s="18">
        <f t="shared" si="20"/>
        <v>1373.693</v>
      </c>
    </row>
    <row r="59" spans="1:9" ht="30" x14ac:dyDescent="0.25">
      <c r="A59" s="22">
        <v>42</v>
      </c>
      <c r="B59" s="112" t="s">
        <v>188</v>
      </c>
      <c r="C59" s="23" t="s">
        <v>216</v>
      </c>
      <c r="D59" s="39" t="s">
        <v>446</v>
      </c>
      <c r="E59" s="23" t="s">
        <v>246</v>
      </c>
      <c r="F59" s="111"/>
      <c r="G59" s="18">
        <f t="shared" si="18"/>
        <v>572.11</v>
      </c>
      <c r="H59" s="18">
        <f t="shared" si="19"/>
        <v>981.21600000000001</v>
      </c>
      <c r="I59" s="18">
        <f t="shared" si="20"/>
        <v>1373.693</v>
      </c>
    </row>
    <row r="60" spans="1:9" ht="30" x14ac:dyDescent="0.25">
      <c r="A60" s="48">
        <v>43</v>
      </c>
      <c r="B60" s="114" t="s">
        <v>398</v>
      </c>
      <c r="C60" s="23" t="s">
        <v>216</v>
      </c>
      <c r="D60" s="39" t="s">
        <v>446</v>
      </c>
      <c r="E60" s="23" t="s">
        <v>247</v>
      </c>
      <c r="F60" s="111"/>
      <c r="G60" s="18">
        <f t="shared" si="18"/>
        <v>572.11</v>
      </c>
      <c r="H60" s="18">
        <f t="shared" si="19"/>
        <v>981.21600000000001</v>
      </c>
      <c r="I60" s="18">
        <f t="shared" si="20"/>
        <v>1373.693</v>
      </c>
    </row>
    <row r="61" spans="1:9" ht="30" x14ac:dyDescent="0.25">
      <c r="A61" s="22">
        <v>44</v>
      </c>
      <c r="B61" s="118" t="s">
        <v>447</v>
      </c>
      <c r="C61" s="23" t="s">
        <v>216</v>
      </c>
      <c r="D61" s="39" t="s">
        <v>446</v>
      </c>
      <c r="E61" s="23" t="s">
        <v>448</v>
      </c>
      <c r="F61" s="111"/>
      <c r="G61" s="18">
        <f t="shared" si="18"/>
        <v>572.11</v>
      </c>
      <c r="H61" s="18">
        <f t="shared" si="19"/>
        <v>981.21600000000001</v>
      </c>
      <c r="I61" s="18">
        <f t="shared" si="20"/>
        <v>1373.693</v>
      </c>
    </row>
    <row r="62" spans="1:9" x14ac:dyDescent="0.25">
      <c r="A62" s="48">
        <v>45</v>
      </c>
      <c r="B62" s="81" t="s">
        <v>21</v>
      </c>
      <c r="C62" s="23" t="s">
        <v>216</v>
      </c>
      <c r="D62" s="39" t="s">
        <v>446</v>
      </c>
      <c r="E62" s="23" t="s">
        <v>448</v>
      </c>
      <c r="F62" s="111">
        <v>500</v>
      </c>
      <c r="G62" s="18">
        <f t="shared" si="18"/>
        <v>572.11</v>
      </c>
      <c r="H62" s="18">
        <f>H63</f>
        <v>981.21600000000001</v>
      </c>
      <c r="I62" s="18">
        <f>I63</f>
        <v>1373.693</v>
      </c>
    </row>
    <row r="63" spans="1:9" x14ac:dyDescent="0.25">
      <c r="A63" s="22">
        <v>46</v>
      </c>
      <c r="B63" s="81" t="s">
        <v>29</v>
      </c>
      <c r="C63" s="23" t="s">
        <v>216</v>
      </c>
      <c r="D63" s="39" t="s">
        <v>446</v>
      </c>
      <c r="E63" s="23" t="s">
        <v>448</v>
      </c>
      <c r="F63" s="111">
        <v>540</v>
      </c>
      <c r="G63" s="18">
        <f>588.74-16.63</f>
        <v>572.11</v>
      </c>
      <c r="H63" s="18">
        <v>981.21600000000001</v>
      </c>
      <c r="I63" s="18">
        <v>1373.693</v>
      </c>
    </row>
    <row r="64" spans="1:9" s="73" customFormat="1" x14ac:dyDescent="0.25">
      <c r="A64" s="48">
        <v>47</v>
      </c>
      <c r="B64" s="74" t="s">
        <v>131</v>
      </c>
      <c r="C64" s="23" t="s">
        <v>216</v>
      </c>
      <c r="D64" s="23" t="s">
        <v>132</v>
      </c>
      <c r="E64" s="22"/>
      <c r="F64" s="22"/>
      <c r="G64" s="18">
        <f>G65+G71</f>
        <v>22534.9</v>
      </c>
      <c r="H64" s="18">
        <f>H65+H71</f>
        <v>5150.91</v>
      </c>
      <c r="I64" s="18">
        <f>I65+I71</f>
        <v>5351.8</v>
      </c>
    </row>
    <row r="65" spans="1:9" s="73" customFormat="1" x14ac:dyDescent="0.25">
      <c r="A65" s="22">
        <v>48</v>
      </c>
      <c r="B65" s="20" t="s">
        <v>28</v>
      </c>
      <c r="C65" s="23" t="s">
        <v>216</v>
      </c>
      <c r="D65" s="21" t="s">
        <v>133</v>
      </c>
      <c r="E65" s="21"/>
      <c r="F65" s="22"/>
      <c r="G65" s="18">
        <f>G66</f>
        <v>300</v>
      </c>
      <c r="H65" s="18">
        <f t="shared" ref="H65:I67" si="21">H66</f>
        <v>0</v>
      </c>
      <c r="I65" s="18">
        <f t="shared" si="21"/>
        <v>0</v>
      </c>
    </row>
    <row r="66" spans="1:9" s="73" customFormat="1" x14ac:dyDescent="0.25">
      <c r="A66" s="48">
        <v>49</v>
      </c>
      <c r="B66" s="117" t="s">
        <v>382</v>
      </c>
      <c r="C66" s="23" t="s">
        <v>216</v>
      </c>
      <c r="D66" s="21" t="s">
        <v>133</v>
      </c>
      <c r="E66" s="23" t="s">
        <v>235</v>
      </c>
      <c r="F66" s="22"/>
      <c r="G66" s="18">
        <f>G67</f>
        <v>300</v>
      </c>
      <c r="H66" s="18">
        <f t="shared" si="21"/>
        <v>0</v>
      </c>
      <c r="I66" s="18">
        <f t="shared" si="21"/>
        <v>0</v>
      </c>
    </row>
    <row r="67" spans="1:9" s="73" customFormat="1" x14ac:dyDescent="0.25">
      <c r="A67" s="22">
        <v>50</v>
      </c>
      <c r="B67" s="117" t="s">
        <v>46</v>
      </c>
      <c r="C67" s="23" t="s">
        <v>216</v>
      </c>
      <c r="D67" s="21" t="s">
        <v>133</v>
      </c>
      <c r="E67" s="23" t="s">
        <v>397</v>
      </c>
      <c r="F67" s="22"/>
      <c r="G67" s="18">
        <f>G68</f>
        <v>300</v>
      </c>
      <c r="H67" s="18">
        <f t="shared" si="21"/>
        <v>0</v>
      </c>
      <c r="I67" s="18">
        <f t="shared" si="21"/>
        <v>0</v>
      </c>
    </row>
    <row r="68" spans="1:9" s="73" customFormat="1" ht="30" x14ac:dyDescent="0.25">
      <c r="A68" s="48">
        <v>51</v>
      </c>
      <c r="B68" s="20" t="s">
        <v>383</v>
      </c>
      <c r="C68" s="23" t="s">
        <v>216</v>
      </c>
      <c r="D68" s="21" t="s">
        <v>133</v>
      </c>
      <c r="E68" s="23" t="s">
        <v>351</v>
      </c>
      <c r="F68" s="22"/>
      <c r="G68" s="18">
        <f>G69</f>
        <v>300</v>
      </c>
      <c r="H68" s="18">
        <f t="shared" ref="H68:I69" si="22">H69</f>
        <v>0</v>
      </c>
      <c r="I68" s="18">
        <f t="shared" si="22"/>
        <v>0</v>
      </c>
    </row>
    <row r="69" spans="1:9" s="73" customFormat="1" x14ac:dyDescent="0.25">
      <c r="A69" s="22">
        <v>52</v>
      </c>
      <c r="B69" s="81" t="s">
        <v>21</v>
      </c>
      <c r="C69" s="23" t="s">
        <v>216</v>
      </c>
      <c r="D69" s="21" t="s">
        <v>133</v>
      </c>
      <c r="E69" s="23" t="s">
        <v>351</v>
      </c>
      <c r="F69" s="22">
        <v>500</v>
      </c>
      <c r="G69" s="18">
        <f>G70</f>
        <v>300</v>
      </c>
      <c r="H69" s="18">
        <f t="shared" si="22"/>
        <v>0</v>
      </c>
      <c r="I69" s="18">
        <f t="shared" si="22"/>
        <v>0</v>
      </c>
    </row>
    <row r="70" spans="1:9" s="73" customFormat="1" x14ac:dyDescent="0.25">
      <c r="A70" s="48">
        <v>53</v>
      </c>
      <c r="B70" s="81" t="s">
        <v>29</v>
      </c>
      <c r="C70" s="23" t="s">
        <v>216</v>
      </c>
      <c r="D70" s="21" t="s">
        <v>133</v>
      </c>
      <c r="E70" s="23" t="s">
        <v>351</v>
      </c>
      <c r="F70" s="22">
        <v>540</v>
      </c>
      <c r="G70" s="18">
        <f>150+150</f>
        <v>300</v>
      </c>
      <c r="H70" s="18">
        <v>0</v>
      </c>
      <c r="I70" s="18">
        <v>0</v>
      </c>
    </row>
    <row r="71" spans="1:9" s="73" customFormat="1" x14ac:dyDescent="0.25">
      <c r="A71" s="22">
        <v>54</v>
      </c>
      <c r="B71" s="80" t="s">
        <v>136</v>
      </c>
      <c r="C71" s="23" t="s">
        <v>216</v>
      </c>
      <c r="D71" s="21" t="s">
        <v>137</v>
      </c>
      <c r="E71" s="22"/>
      <c r="F71" s="22"/>
      <c r="G71" s="18">
        <f>G72+G85</f>
        <v>22234.9</v>
      </c>
      <c r="H71" s="18">
        <f t="shared" ref="H71:I71" si="23">H72+H85</f>
        <v>5150.91</v>
      </c>
      <c r="I71" s="18">
        <f t="shared" si="23"/>
        <v>5351.8</v>
      </c>
    </row>
    <row r="72" spans="1:9" s="73" customFormat="1" x14ac:dyDescent="0.25">
      <c r="A72" s="48">
        <v>55</v>
      </c>
      <c r="B72" s="80" t="s">
        <v>51</v>
      </c>
      <c r="C72" s="23" t="s">
        <v>216</v>
      </c>
      <c r="D72" s="21" t="s">
        <v>137</v>
      </c>
      <c r="E72" s="22">
        <v>1000000000</v>
      </c>
      <c r="F72" s="22"/>
      <c r="G72" s="18">
        <f>G81+G73+G77</f>
        <v>13967.5</v>
      </c>
      <c r="H72" s="18">
        <f t="shared" ref="H72:I72" si="24">H81+H73+H77</f>
        <v>5150.91</v>
      </c>
      <c r="I72" s="18">
        <f t="shared" si="24"/>
        <v>5351.8</v>
      </c>
    </row>
    <row r="73" spans="1:9" s="73" customFormat="1" x14ac:dyDescent="0.25">
      <c r="A73" s="22">
        <v>56</v>
      </c>
      <c r="B73" s="117" t="s">
        <v>169</v>
      </c>
      <c r="C73" s="23" t="s">
        <v>216</v>
      </c>
      <c r="D73" s="21" t="s">
        <v>137</v>
      </c>
      <c r="E73" s="22">
        <v>1020000000</v>
      </c>
      <c r="F73" s="22"/>
      <c r="G73" s="18">
        <f>G74</f>
        <v>268</v>
      </c>
      <c r="H73" s="18">
        <f t="shared" ref="H73:I75" si="25">H74</f>
        <v>0</v>
      </c>
      <c r="I73" s="18">
        <f t="shared" si="25"/>
        <v>0</v>
      </c>
    </row>
    <row r="74" spans="1:9" s="73" customFormat="1" ht="30" x14ac:dyDescent="0.25">
      <c r="A74" s="48">
        <v>57</v>
      </c>
      <c r="B74" s="119" t="s">
        <v>479</v>
      </c>
      <c r="C74" s="23" t="s">
        <v>216</v>
      </c>
      <c r="D74" s="21" t="s">
        <v>137</v>
      </c>
      <c r="E74" s="22" t="s">
        <v>518</v>
      </c>
      <c r="F74" s="22"/>
      <c r="G74" s="18">
        <f>G75</f>
        <v>268</v>
      </c>
      <c r="H74" s="18">
        <f t="shared" si="25"/>
        <v>0</v>
      </c>
      <c r="I74" s="18">
        <f t="shared" si="25"/>
        <v>0</v>
      </c>
    </row>
    <row r="75" spans="1:9" s="73" customFormat="1" x14ac:dyDescent="0.25">
      <c r="A75" s="22">
        <v>58</v>
      </c>
      <c r="B75" s="81" t="s">
        <v>21</v>
      </c>
      <c r="C75" s="23" t="s">
        <v>216</v>
      </c>
      <c r="D75" s="21" t="s">
        <v>137</v>
      </c>
      <c r="E75" s="22" t="s">
        <v>518</v>
      </c>
      <c r="F75" s="22">
        <v>500</v>
      </c>
      <c r="G75" s="18">
        <f>G76</f>
        <v>268</v>
      </c>
      <c r="H75" s="18">
        <f t="shared" si="25"/>
        <v>0</v>
      </c>
      <c r="I75" s="18">
        <f t="shared" si="25"/>
        <v>0</v>
      </c>
    </row>
    <row r="76" spans="1:9" s="73" customFormat="1" x14ac:dyDescent="0.25">
      <c r="A76" s="48">
        <v>59</v>
      </c>
      <c r="B76" s="81" t="s">
        <v>29</v>
      </c>
      <c r="C76" s="23" t="s">
        <v>216</v>
      </c>
      <c r="D76" s="21" t="s">
        <v>137</v>
      </c>
      <c r="E76" s="22" t="s">
        <v>518</v>
      </c>
      <c r="F76" s="22">
        <v>540</v>
      </c>
      <c r="G76" s="18">
        <v>268</v>
      </c>
      <c r="H76" s="18">
        <v>0</v>
      </c>
      <c r="I76" s="18">
        <v>0</v>
      </c>
    </row>
    <row r="77" spans="1:9" s="73" customFormat="1" ht="30" x14ac:dyDescent="0.25">
      <c r="A77" s="22">
        <v>60</v>
      </c>
      <c r="B77" s="81" t="s">
        <v>400</v>
      </c>
      <c r="C77" s="23" t="s">
        <v>216</v>
      </c>
      <c r="D77" s="21" t="s">
        <v>137</v>
      </c>
      <c r="E77" s="22">
        <v>1030000000</v>
      </c>
      <c r="F77" s="22"/>
      <c r="G77" s="18">
        <f>G78</f>
        <v>8741.5</v>
      </c>
      <c r="H77" s="18">
        <f t="shared" ref="H77:I79" si="26">H78</f>
        <v>0</v>
      </c>
      <c r="I77" s="18">
        <f t="shared" si="26"/>
        <v>0</v>
      </c>
    </row>
    <row r="78" spans="1:9" s="73" customFormat="1" ht="30" x14ac:dyDescent="0.25">
      <c r="A78" s="48">
        <v>61</v>
      </c>
      <c r="B78" s="80" t="s">
        <v>495</v>
      </c>
      <c r="C78" s="23" t="s">
        <v>216</v>
      </c>
      <c r="D78" s="21" t="s">
        <v>137</v>
      </c>
      <c r="E78" s="22">
        <v>1030075090</v>
      </c>
      <c r="F78" s="22"/>
      <c r="G78" s="18">
        <f>G79</f>
        <v>8741.5</v>
      </c>
      <c r="H78" s="18">
        <f t="shared" si="26"/>
        <v>0</v>
      </c>
      <c r="I78" s="18">
        <f t="shared" si="26"/>
        <v>0</v>
      </c>
    </row>
    <row r="79" spans="1:9" s="73" customFormat="1" x14ac:dyDescent="0.25">
      <c r="A79" s="22">
        <v>62</v>
      </c>
      <c r="B79" s="81" t="s">
        <v>21</v>
      </c>
      <c r="C79" s="23" t="s">
        <v>216</v>
      </c>
      <c r="D79" s="21" t="s">
        <v>137</v>
      </c>
      <c r="E79" s="22">
        <v>1030075090</v>
      </c>
      <c r="F79" s="22">
        <v>500</v>
      </c>
      <c r="G79" s="18">
        <f>G80</f>
        <v>8741.5</v>
      </c>
      <c r="H79" s="18">
        <f t="shared" si="26"/>
        <v>0</v>
      </c>
      <c r="I79" s="18">
        <f t="shared" si="26"/>
        <v>0</v>
      </c>
    </row>
    <row r="80" spans="1:9" s="73" customFormat="1" x14ac:dyDescent="0.25">
      <c r="A80" s="48">
        <v>63</v>
      </c>
      <c r="B80" s="81" t="s">
        <v>29</v>
      </c>
      <c r="C80" s="23" t="s">
        <v>216</v>
      </c>
      <c r="D80" s="21" t="s">
        <v>137</v>
      </c>
      <c r="E80" s="22">
        <v>1030075090</v>
      </c>
      <c r="F80" s="22">
        <v>540</v>
      </c>
      <c r="G80" s="18">
        <v>8741.5</v>
      </c>
      <c r="H80" s="18">
        <v>0</v>
      </c>
      <c r="I80" s="18">
        <v>0</v>
      </c>
    </row>
    <row r="81" spans="1:11" s="73" customFormat="1" x14ac:dyDescent="0.25">
      <c r="A81" s="22">
        <v>64</v>
      </c>
      <c r="B81" s="80" t="s">
        <v>342</v>
      </c>
      <c r="C81" s="23" t="s">
        <v>216</v>
      </c>
      <c r="D81" s="21" t="s">
        <v>137</v>
      </c>
      <c r="E81" s="22">
        <v>1040000000</v>
      </c>
      <c r="F81" s="22"/>
      <c r="G81" s="18">
        <f>G82</f>
        <v>4958</v>
      </c>
      <c r="H81" s="18">
        <f t="shared" ref="H81:I83" si="27">H82</f>
        <v>5150.91</v>
      </c>
      <c r="I81" s="18">
        <f t="shared" si="27"/>
        <v>5351.8</v>
      </c>
    </row>
    <row r="82" spans="1:11" s="73" customFormat="1" ht="30" x14ac:dyDescent="0.25">
      <c r="A82" s="48">
        <v>65</v>
      </c>
      <c r="B82" s="80" t="s">
        <v>384</v>
      </c>
      <c r="C82" s="23" t="s">
        <v>216</v>
      </c>
      <c r="D82" s="21" t="s">
        <v>137</v>
      </c>
      <c r="E82" s="22">
        <v>1040075080</v>
      </c>
      <c r="F82" s="22"/>
      <c r="G82" s="18">
        <f>G83</f>
        <v>4958</v>
      </c>
      <c r="H82" s="18">
        <f t="shared" si="27"/>
        <v>5150.91</v>
      </c>
      <c r="I82" s="18">
        <f t="shared" si="27"/>
        <v>5351.8</v>
      </c>
    </row>
    <row r="83" spans="1:11" s="73" customFormat="1" x14ac:dyDescent="0.25">
      <c r="A83" s="22">
        <v>66</v>
      </c>
      <c r="B83" s="81" t="s">
        <v>21</v>
      </c>
      <c r="C83" s="23" t="s">
        <v>216</v>
      </c>
      <c r="D83" s="21" t="s">
        <v>137</v>
      </c>
      <c r="E83" s="22">
        <v>1040075080</v>
      </c>
      <c r="F83" s="22">
        <v>500</v>
      </c>
      <c r="G83" s="18">
        <f>G84</f>
        <v>4958</v>
      </c>
      <c r="H83" s="18">
        <f t="shared" si="27"/>
        <v>5150.91</v>
      </c>
      <c r="I83" s="18">
        <f t="shared" si="27"/>
        <v>5351.8</v>
      </c>
    </row>
    <row r="84" spans="1:11" s="73" customFormat="1" x14ac:dyDescent="0.25">
      <c r="A84" s="48">
        <v>67</v>
      </c>
      <c r="B84" s="81" t="s">
        <v>29</v>
      </c>
      <c r="C84" s="23" t="s">
        <v>216</v>
      </c>
      <c r="D84" s="21" t="s">
        <v>137</v>
      </c>
      <c r="E84" s="22">
        <v>1040075080</v>
      </c>
      <c r="F84" s="22">
        <v>540</v>
      </c>
      <c r="G84" s="18">
        <v>4958</v>
      </c>
      <c r="H84" s="18">
        <f>5150.91</f>
        <v>5150.91</v>
      </c>
      <c r="I84" s="18">
        <v>5351.8</v>
      </c>
    </row>
    <row r="85" spans="1:11" s="73" customFormat="1" x14ac:dyDescent="0.25">
      <c r="A85" s="22">
        <v>68</v>
      </c>
      <c r="B85" s="81" t="s">
        <v>26</v>
      </c>
      <c r="C85" s="23" t="s">
        <v>216</v>
      </c>
      <c r="D85" s="39" t="s">
        <v>137</v>
      </c>
      <c r="E85" s="111">
        <v>9200000000</v>
      </c>
      <c r="F85" s="22"/>
      <c r="G85" s="18">
        <f>G86</f>
        <v>8267.4</v>
      </c>
      <c r="H85" s="18">
        <f t="shared" ref="H85:I87" si="28">H86</f>
        <v>0</v>
      </c>
      <c r="I85" s="18">
        <f t="shared" si="28"/>
        <v>0</v>
      </c>
    </row>
    <row r="86" spans="1:11" s="73" customFormat="1" x14ac:dyDescent="0.25">
      <c r="A86" s="48">
        <v>69</v>
      </c>
      <c r="B86" s="112" t="s">
        <v>350</v>
      </c>
      <c r="C86" s="23" t="s">
        <v>216</v>
      </c>
      <c r="D86" s="39" t="s">
        <v>137</v>
      </c>
      <c r="E86" s="111">
        <v>9210000000</v>
      </c>
      <c r="F86" s="22"/>
      <c r="G86" s="18">
        <f>G87</f>
        <v>8267.4</v>
      </c>
      <c r="H86" s="18">
        <f t="shared" si="28"/>
        <v>0</v>
      </c>
      <c r="I86" s="18">
        <f t="shared" si="28"/>
        <v>0</v>
      </c>
    </row>
    <row r="87" spans="1:11" s="73" customFormat="1" ht="47.25" customHeight="1" x14ac:dyDescent="0.25">
      <c r="A87" s="22">
        <v>70</v>
      </c>
      <c r="B87" s="81" t="s">
        <v>519</v>
      </c>
      <c r="C87" s="23" t="s">
        <v>216</v>
      </c>
      <c r="D87" s="21" t="s">
        <v>137</v>
      </c>
      <c r="E87" s="22">
        <v>9210073950</v>
      </c>
      <c r="F87" s="22"/>
      <c r="G87" s="18">
        <f>G88</f>
        <v>8267.4</v>
      </c>
      <c r="H87" s="18">
        <f t="shared" si="28"/>
        <v>0</v>
      </c>
      <c r="I87" s="18">
        <f t="shared" si="28"/>
        <v>0</v>
      </c>
    </row>
    <row r="88" spans="1:11" s="73" customFormat="1" x14ac:dyDescent="0.25">
      <c r="A88" s="48">
        <v>71</v>
      </c>
      <c r="B88" s="81" t="s">
        <v>21</v>
      </c>
      <c r="C88" s="23" t="s">
        <v>216</v>
      </c>
      <c r="D88" s="21" t="s">
        <v>137</v>
      </c>
      <c r="E88" s="22">
        <v>9210073950</v>
      </c>
      <c r="F88" s="22">
        <v>500</v>
      </c>
      <c r="G88" s="18">
        <f>G89</f>
        <v>8267.4</v>
      </c>
      <c r="H88" s="18"/>
      <c r="I88" s="18"/>
    </row>
    <row r="89" spans="1:11" s="73" customFormat="1" x14ac:dyDescent="0.25">
      <c r="A89" s="22">
        <v>72</v>
      </c>
      <c r="B89" s="81" t="s">
        <v>29</v>
      </c>
      <c r="C89" s="23" t="s">
        <v>216</v>
      </c>
      <c r="D89" s="21" t="s">
        <v>137</v>
      </c>
      <c r="E89" s="22">
        <v>9210073950</v>
      </c>
      <c r="F89" s="22">
        <v>540</v>
      </c>
      <c r="G89" s="18">
        <v>8267.4</v>
      </c>
      <c r="H89" s="18">
        <v>0</v>
      </c>
      <c r="I89" s="18">
        <v>0</v>
      </c>
    </row>
    <row r="90" spans="1:11" s="73" customFormat="1" x14ac:dyDescent="0.25">
      <c r="A90" s="48">
        <v>73</v>
      </c>
      <c r="B90" s="80" t="s">
        <v>139</v>
      </c>
      <c r="C90" s="23" t="s">
        <v>216</v>
      </c>
      <c r="D90" s="21" t="s">
        <v>140</v>
      </c>
      <c r="E90" s="22"/>
      <c r="F90" s="22"/>
      <c r="G90" s="18">
        <f>G106+G100+G115+G91</f>
        <v>50131.85</v>
      </c>
      <c r="H90" s="18">
        <f t="shared" ref="H90:I90" si="29">H106+H100</f>
        <v>0</v>
      </c>
      <c r="I90" s="18">
        <f t="shared" si="29"/>
        <v>0</v>
      </c>
    </row>
    <row r="91" spans="1:11" s="73" customFormat="1" x14ac:dyDescent="0.25">
      <c r="A91" s="22">
        <v>74</v>
      </c>
      <c r="B91" s="80" t="s">
        <v>520</v>
      </c>
      <c r="C91" s="23" t="s">
        <v>216</v>
      </c>
      <c r="D91" s="21" t="s">
        <v>521</v>
      </c>
      <c r="E91" s="22"/>
      <c r="F91" s="22"/>
      <c r="G91" s="18">
        <f>G92</f>
        <v>41250.379999999997</v>
      </c>
      <c r="H91" s="18"/>
      <c r="I91" s="18"/>
    </row>
    <row r="92" spans="1:11" s="73" customFormat="1" ht="30" x14ac:dyDescent="0.25">
      <c r="A92" s="48">
        <v>75</v>
      </c>
      <c r="B92" s="80" t="s">
        <v>328</v>
      </c>
      <c r="C92" s="23" t="s">
        <v>216</v>
      </c>
      <c r="D92" s="21" t="s">
        <v>521</v>
      </c>
      <c r="E92" s="22">
        <v>1100000000</v>
      </c>
      <c r="F92" s="22"/>
      <c r="G92" s="18">
        <f>G93</f>
        <v>41250.379999999997</v>
      </c>
      <c r="H92" s="18"/>
      <c r="I92" s="18"/>
    </row>
    <row r="93" spans="1:11" s="73" customFormat="1" x14ac:dyDescent="0.25">
      <c r="A93" s="22">
        <v>76</v>
      </c>
      <c r="B93" s="80" t="s">
        <v>170</v>
      </c>
      <c r="C93" s="23" t="s">
        <v>216</v>
      </c>
      <c r="D93" s="21" t="s">
        <v>521</v>
      </c>
      <c r="E93" s="22">
        <v>1110000000</v>
      </c>
      <c r="F93" s="22"/>
      <c r="G93" s="18">
        <f>G94+G97</f>
        <v>41250.379999999997</v>
      </c>
      <c r="H93" s="18"/>
      <c r="I93" s="18"/>
    </row>
    <row r="94" spans="1:11" s="73" customFormat="1" ht="70.5" customHeight="1" x14ac:dyDescent="0.25">
      <c r="A94" s="48">
        <v>77</v>
      </c>
      <c r="B94" s="80" t="s">
        <v>528</v>
      </c>
      <c r="C94" s="23" t="s">
        <v>216</v>
      </c>
      <c r="D94" s="21" t="s">
        <v>521</v>
      </c>
      <c r="E94" s="22" t="s">
        <v>523</v>
      </c>
      <c r="F94" s="22"/>
      <c r="G94" s="18">
        <f>G95</f>
        <v>30449</v>
      </c>
      <c r="H94" s="18"/>
      <c r="I94" s="18"/>
    </row>
    <row r="95" spans="1:11" s="73" customFormat="1" x14ac:dyDescent="0.25">
      <c r="A95" s="22">
        <v>78</v>
      </c>
      <c r="B95" s="81" t="s">
        <v>21</v>
      </c>
      <c r="C95" s="23" t="s">
        <v>216</v>
      </c>
      <c r="D95" s="21" t="s">
        <v>521</v>
      </c>
      <c r="E95" s="22" t="s">
        <v>523</v>
      </c>
      <c r="F95" s="22">
        <v>500</v>
      </c>
      <c r="G95" s="18">
        <f>G96</f>
        <v>30449</v>
      </c>
      <c r="H95" s="18"/>
      <c r="I95" s="18"/>
    </row>
    <row r="96" spans="1:11" s="73" customFormat="1" x14ac:dyDescent="0.25">
      <c r="A96" s="48">
        <v>79</v>
      </c>
      <c r="B96" s="80" t="s">
        <v>525</v>
      </c>
      <c r="C96" s="23" t="s">
        <v>216</v>
      </c>
      <c r="D96" s="21" t="s">
        <v>521</v>
      </c>
      <c r="E96" s="22" t="s">
        <v>523</v>
      </c>
      <c r="F96" s="22">
        <v>520</v>
      </c>
      <c r="G96" s="18">
        <v>30449</v>
      </c>
      <c r="H96" s="18">
        <v>0</v>
      </c>
      <c r="I96" s="18">
        <v>0</v>
      </c>
    </row>
    <row r="97" spans="1:9" s="73" customFormat="1" ht="57.75" customHeight="1" x14ac:dyDescent="0.25">
      <c r="A97" s="22">
        <v>80</v>
      </c>
      <c r="B97" s="80" t="s">
        <v>527</v>
      </c>
      <c r="C97" s="23" t="s">
        <v>216</v>
      </c>
      <c r="D97" s="21" t="s">
        <v>521</v>
      </c>
      <c r="E97" s="22" t="s">
        <v>522</v>
      </c>
      <c r="F97" s="22"/>
      <c r="G97" s="18">
        <f>G98</f>
        <v>10801.38</v>
      </c>
      <c r="H97" s="18">
        <f t="shared" ref="H97:I98" si="30">H98</f>
        <v>0</v>
      </c>
      <c r="I97" s="18">
        <f t="shared" si="30"/>
        <v>0</v>
      </c>
    </row>
    <row r="98" spans="1:9" s="73" customFormat="1" x14ac:dyDescent="0.25">
      <c r="A98" s="48">
        <v>81</v>
      </c>
      <c r="B98" s="81" t="s">
        <v>21</v>
      </c>
      <c r="C98" s="23" t="s">
        <v>216</v>
      </c>
      <c r="D98" s="21" t="s">
        <v>521</v>
      </c>
      <c r="E98" s="22" t="s">
        <v>522</v>
      </c>
      <c r="F98" s="22">
        <v>500</v>
      </c>
      <c r="G98" s="18">
        <f>G99</f>
        <v>10801.38</v>
      </c>
      <c r="H98" s="18">
        <f t="shared" si="30"/>
        <v>0</v>
      </c>
      <c r="I98" s="18">
        <f t="shared" si="30"/>
        <v>0</v>
      </c>
    </row>
    <row r="99" spans="1:9" s="73" customFormat="1" x14ac:dyDescent="0.25">
      <c r="A99" s="22">
        <v>82</v>
      </c>
      <c r="B99" s="80" t="s">
        <v>525</v>
      </c>
      <c r="C99" s="23" t="s">
        <v>216</v>
      </c>
      <c r="D99" s="21" t="s">
        <v>521</v>
      </c>
      <c r="E99" s="22" t="s">
        <v>522</v>
      </c>
      <c r="F99" s="22">
        <v>520</v>
      </c>
      <c r="G99" s="18">
        <v>10801.38</v>
      </c>
      <c r="H99" s="18">
        <v>0</v>
      </c>
      <c r="I99" s="18">
        <v>0</v>
      </c>
    </row>
    <row r="100" spans="1:9" s="73" customFormat="1" x14ac:dyDescent="0.25">
      <c r="A100" s="48">
        <v>83</v>
      </c>
      <c r="B100" s="80" t="s">
        <v>141</v>
      </c>
      <c r="C100" s="23" t="s">
        <v>216</v>
      </c>
      <c r="D100" s="21" t="s">
        <v>142</v>
      </c>
      <c r="E100" s="22"/>
      <c r="F100" s="22"/>
      <c r="G100" s="18">
        <f>G101</f>
        <v>0</v>
      </c>
      <c r="H100" s="18">
        <f t="shared" ref="H100:I104" si="31">H101</f>
        <v>0</v>
      </c>
      <c r="I100" s="18">
        <f t="shared" si="31"/>
        <v>0</v>
      </c>
    </row>
    <row r="101" spans="1:9" s="73" customFormat="1" ht="30" x14ac:dyDescent="0.25">
      <c r="A101" s="22">
        <v>84</v>
      </c>
      <c r="B101" s="112" t="s">
        <v>61</v>
      </c>
      <c r="C101" s="23" t="s">
        <v>216</v>
      </c>
      <c r="D101" s="21" t="s">
        <v>142</v>
      </c>
      <c r="E101" s="23" t="s">
        <v>228</v>
      </c>
      <c r="F101" s="22"/>
      <c r="G101" s="18">
        <f>G102</f>
        <v>0</v>
      </c>
      <c r="H101" s="18">
        <f t="shared" si="31"/>
        <v>0</v>
      </c>
      <c r="I101" s="18">
        <f t="shared" si="31"/>
        <v>0</v>
      </c>
    </row>
    <row r="102" spans="1:9" s="73" customFormat="1" x14ac:dyDescent="0.25">
      <c r="A102" s="48">
        <v>85</v>
      </c>
      <c r="B102" s="112" t="s">
        <v>428</v>
      </c>
      <c r="C102" s="23" t="s">
        <v>216</v>
      </c>
      <c r="D102" s="21" t="s">
        <v>142</v>
      </c>
      <c r="E102" s="23" t="s">
        <v>229</v>
      </c>
      <c r="F102" s="22"/>
      <c r="G102" s="18">
        <f>G103</f>
        <v>0</v>
      </c>
      <c r="H102" s="18">
        <f t="shared" si="31"/>
        <v>0</v>
      </c>
      <c r="I102" s="18">
        <f t="shared" si="31"/>
        <v>0</v>
      </c>
    </row>
    <row r="103" spans="1:9" s="73" customFormat="1" ht="30" x14ac:dyDescent="0.25">
      <c r="A103" s="22">
        <v>86</v>
      </c>
      <c r="B103" s="112" t="s">
        <v>555</v>
      </c>
      <c r="C103" s="23" t="s">
        <v>216</v>
      </c>
      <c r="D103" s="21" t="s">
        <v>142</v>
      </c>
      <c r="E103" s="23" t="s">
        <v>442</v>
      </c>
      <c r="F103" s="22"/>
      <c r="G103" s="18">
        <f>G104</f>
        <v>0</v>
      </c>
      <c r="H103" s="18">
        <f t="shared" si="31"/>
        <v>0</v>
      </c>
      <c r="I103" s="18">
        <f t="shared" si="31"/>
        <v>0</v>
      </c>
    </row>
    <row r="104" spans="1:9" s="73" customFormat="1" x14ac:dyDescent="0.25">
      <c r="A104" s="48">
        <v>87</v>
      </c>
      <c r="B104" s="81" t="s">
        <v>21</v>
      </c>
      <c r="C104" s="23" t="s">
        <v>216</v>
      </c>
      <c r="D104" s="21" t="s">
        <v>142</v>
      </c>
      <c r="E104" s="23" t="s">
        <v>442</v>
      </c>
      <c r="F104" s="22">
        <v>500</v>
      </c>
      <c r="G104" s="18">
        <f>G105</f>
        <v>0</v>
      </c>
      <c r="H104" s="18">
        <f t="shared" si="31"/>
        <v>0</v>
      </c>
      <c r="I104" s="18">
        <f t="shared" si="31"/>
        <v>0</v>
      </c>
    </row>
    <row r="105" spans="1:9" s="73" customFormat="1" x14ac:dyDescent="0.25">
      <c r="A105" s="22">
        <v>88</v>
      </c>
      <c r="B105" s="81" t="s">
        <v>29</v>
      </c>
      <c r="C105" s="23" t="s">
        <v>216</v>
      </c>
      <c r="D105" s="21" t="s">
        <v>142</v>
      </c>
      <c r="E105" s="23" t="s">
        <v>442</v>
      </c>
      <c r="F105" s="22">
        <v>540</v>
      </c>
      <c r="G105" s="18">
        <f>1000-1000</f>
        <v>0</v>
      </c>
      <c r="H105" s="18">
        <v>0</v>
      </c>
      <c r="I105" s="18">
        <v>0</v>
      </c>
    </row>
    <row r="106" spans="1:9" s="73" customFormat="1" x14ac:dyDescent="0.25">
      <c r="A106" s="48">
        <v>89</v>
      </c>
      <c r="B106" s="80" t="s">
        <v>391</v>
      </c>
      <c r="C106" s="23" t="s">
        <v>216</v>
      </c>
      <c r="D106" s="21" t="s">
        <v>392</v>
      </c>
      <c r="E106" s="22"/>
      <c r="F106" s="22"/>
      <c r="G106" s="18">
        <f t="shared" ref="G106:I107" si="32">G107</f>
        <v>3541.4700000000003</v>
      </c>
      <c r="H106" s="18">
        <f t="shared" si="32"/>
        <v>0</v>
      </c>
      <c r="I106" s="18">
        <f t="shared" si="32"/>
        <v>0</v>
      </c>
    </row>
    <row r="107" spans="1:9" s="73" customFormat="1" x14ac:dyDescent="0.25">
      <c r="A107" s="22">
        <v>90</v>
      </c>
      <c r="B107" s="80" t="s">
        <v>426</v>
      </c>
      <c r="C107" s="23" t="s">
        <v>216</v>
      </c>
      <c r="D107" s="21" t="s">
        <v>392</v>
      </c>
      <c r="E107" s="23" t="s">
        <v>235</v>
      </c>
      <c r="F107" s="22"/>
      <c r="G107" s="18">
        <f t="shared" si="32"/>
        <v>3541.4700000000003</v>
      </c>
      <c r="H107" s="18">
        <f t="shared" si="32"/>
        <v>0</v>
      </c>
      <c r="I107" s="18">
        <f t="shared" si="32"/>
        <v>0</v>
      </c>
    </row>
    <row r="108" spans="1:9" s="73" customFormat="1" x14ac:dyDescent="0.25">
      <c r="A108" s="48">
        <v>91</v>
      </c>
      <c r="B108" s="80" t="s">
        <v>393</v>
      </c>
      <c r="C108" s="23" t="s">
        <v>216</v>
      </c>
      <c r="D108" s="21" t="s">
        <v>392</v>
      </c>
      <c r="E108" s="23" t="s">
        <v>252</v>
      </c>
      <c r="F108" s="22"/>
      <c r="G108" s="18">
        <f>G109+G112</f>
        <v>3541.4700000000003</v>
      </c>
      <c r="H108" s="18">
        <f t="shared" ref="H108:I108" si="33">H109+H112</f>
        <v>0</v>
      </c>
      <c r="I108" s="18">
        <f t="shared" si="33"/>
        <v>0</v>
      </c>
    </row>
    <row r="109" spans="1:9" s="73" customFormat="1" ht="30" x14ac:dyDescent="0.25">
      <c r="A109" s="22">
        <v>92</v>
      </c>
      <c r="B109" s="80" t="s">
        <v>496</v>
      </c>
      <c r="C109" s="23" t="s">
        <v>216</v>
      </c>
      <c r="D109" s="21" t="s">
        <v>392</v>
      </c>
      <c r="E109" s="23" t="s">
        <v>497</v>
      </c>
      <c r="F109" s="22"/>
      <c r="G109" s="18">
        <f>G110</f>
        <v>1681.35</v>
      </c>
      <c r="H109" s="18">
        <f t="shared" ref="H109:I110" si="34">H110</f>
        <v>0</v>
      </c>
      <c r="I109" s="18">
        <f t="shared" si="34"/>
        <v>0</v>
      </c>
    </row>
    <row r="110" spans="1:9" s="73" customFormat="1" x14ac:dyDescent="0.25">
      <c r="A110" s="48">
        <v>93</v>
      </c>
      <c r="B110" s="81" t="s">
        <v>21</v>
      </c>
      <c r="C110" s="23" t="s">
        <v>216</v>
      </c>
      <c r="D110" s="21" t="s">
        <v>392</v>
      </c>
      <c r="E110" s="23" t="s">
        <v>497</v>
      </c>
      <c r="F110" s="22">
        <v>500</v>
      </c>
      <c r="G110" s="18">
        <f>G111</f>
        <v>1681.35</v>
      </c>
      <c r="H110" s="18">
        <f t="shared" si="34"/>
        <v>0</v>
      </c>
      <c r="I110" s="18">
        <f t="shared" si="34"/>
        <v>0</v>
      </c>
    </row>
    <row r="111" spans="1:9" s="73" customFormat="1" x14ac:dyDescent="0.25">
      <c r="A111" s="22">
        <v>94</v>
      </c>
      <c r="B111" s="81" t="s">
        <v>29</v>
      </c>
      <c r="C111" s="23" t="s">
        <v>216</v>
      </c>
      <c r="D111" s="21" t="s">
        <v>392</v>
      </c>
      <c r="E111" s="23" t="s">
        <v>497</v>
      </c>
      <c r="F111" s="22">
        <v>540</v>
      </c>
      <c r="G111" s="18">
        <v>1681.35</v>
      </c>
      <c r="H111" s="18">
        <v>0</v>
      </c>
      <c r="I111" s="18">
        <v>0</v>
      </c>
    </row>
    <row r="112" spans="1:9" s="73" customFormat="1" ht="30" x14ac:dyDescent="0.25">
      <c r="A112" s="48">
        <v>95</v>
      </c>
      <c r="B112" s="80" t="s">
        <v>498</v>
      </c>
      <c r="C112" s="23" t="s">
        <v>216</v>
      </c>
      <c r="D112" s="21" t="s">
        <v>392</v>
      </c>
      <c r="E112" s="23" t="s">
        <v>499</v>
      </c>
      <c r="F112" s="22"/>
      <c r="G112" s="18">
        <f>G113</f>
        <v>1860.1200000000001</v>
      </c>
      <c r="H112" s="18">
        <f t="shared" ref="H112:I113" si="35">H113</f>
        <v>0</v>
      </c>
      <c r="I112" s="18">
        <f t="shared" si="35"/>
        <v>0</v>
      </c>
    </row>
    <row r="113" spans="1:9" s="73" customFormat="1" x14ac:dyDescent="0.25">
      <c r="A113" s="22">
        <v>96</v>
      </c>
      <c r="B113" s="81" t="s">
        <v>21</v>
      </c>
      <c r="C113" s="23" t="s">
        <v>216</v>
      </c>
      <c r="D113" s="21" t="s">
        <v>392</v>
      </c>
      <c r="E113" s="23" t="s">
        <v>499</v>
      </c>
      <c r="F113" s="22">
        <v>500</v>
      </c>
      <c r="G113" s="18">
        <f>G114</f>
        <v>1860.1200000000001</v>
      </c>
      <c r="H113" s="18">
        <f t="shared" si="35"/>
        <v>0</v>
      </c>
      <c r="I113" s="18">
        <f t="shared" si="35"/>
        <v>0</v>
      </c>
    </row>
    <row r="114" spans="1:9" s="73" customFormat="1" x14ac:dyDescent="0.25">
      <c r="A114" s="48">
        <v>97</v>
      </c>
      <c r="B114" s="81" t="s">
        <v>29</v>
      </c>
      <c r="C114" s="23" t="s">
        <v>216</v>
      </c>
      <c r="D114" s="21" t="s">
        <v>392</v>
      </c>
      <c r="E114" s="23" t="s">
        <v>499</v>
      </c>
      <c r="F114" s="22">
        <v>540</v>
      </c>
      <c r="G114" s="18">
        <f>1841.7+18.42</f>
        <v>1860.1200000000001</v>
      </c>
      <c r="H114" s="18">
        <v>0</v>
      </c>
      <c r="I114" s="18">
        <v>0</v>
      </c>
    </row>
    <row r="115" spans="1:9" s="73" customFormat="1" x14ac:dyDescent="0.25">
      <c r="A115" s="22">
        <v>98</v>
      </c>
      <c r="B115" s="80" t="s">
        <v>500</v>
      </c>
      <c r="C115" s="23" t="s">
        <v>216</v>
      </c>
      <c r="D115" s="21" t="s">
        <v>501</v>
      </c>
      <c r="E115" s="23"/>
      <c r="F115" s="22"/>
      <c r="G115" s="18">
        <f>G116</f>
        <v>5340</v>
      </c>
      <c r="H115" s="18">
        <f t="shared" ref="H115:I119" si="36">H116</f>
        <v>0</v>
      </c>
      <c r="I115" s="18">
        <f t="shared" si="36"/>
        <v>0</v>
      </c>
    </row>
    <row r="116" spans="1:9" s="73" customFormat="1" ht="30" x14ac:dyDescent="0.25">
      <c r="A116" s="48">
        <v>99</v>
      </c>
      <c r="B116" s="112" t="s">
        <v>61</v>
      </c>
      <c r="C116" s="23" t="s">
        <v>216</v>
      </c>
      <c r="D116" s="21" t="s">
        <v>501</v>
      </c>
      <c r="E116" s="23" t="s">
        <v>228</v>
      </c>
      <c r="F116" s="22"/>
      <c r="G116" s="18">
        <f>G117</f>
        <v>5340</v>
      </c>
      <c r="H116" s="18">
        <f t="shared" si="36"/>
        <v>0</v>
      </c>
      <c r="I116" s="18">
        <f t="shared" si="36"/>
        <v>0</v>
      </c>
    </row>
    <row r="117" spans="1:9" s="73" customFormat="1" ht="30" x14ac:dyDescent="0.25">
      <c r="A117" s="22">
        <v>100</v>
      </c>
      <c r="B117" s="81" t="s">
        <v>167</v>
      </c>
      <c r="C117" s="23" t="s">
        <v>216</v>
      </c>
      <c r="D117" s="21" t="s">
        <v>501</v>
      </c>
      <c r="E117" s="23" t="s">
        <v>230</v>
      </c>
      <c r="F117" s="22"/>
      <c r="G117" s="18">
        <f>G118</f>
        <v>5340</v>
      </c>
      <c r="H117" s="18">
        <f t="shared" si="36"/>
        <v>0</v>
      </c>
      <c r="I117" s="18">
        <f t="shared" si="36"/>
        <v>0</v>
      </c>
    </row>
    <row r="118" spans="1:9" s="73" customFormat="1" ht="90" x14ac:dyDescent="0.25">
      <c r="A118" s="48">
        <v>101</v>
      </c>
      <c r="B118" s="80" t="s">
        <v>507</v>
      </c>
      <c r="C118" s="23" t="s">
        <v>216</v>
      </c>
      <c r="D118" s="21" t="s">
        <v>501</v>
      </c>
      <c r="E118" s="23" t="s">
        <v>502</v>
      </c>
      <c r="F118" s="22"/>
      <c r="G118" s="18">
        <f>G119</f>
        <v>5340</v>
      </c>
      <c r="H118" s="18">
        <f>H119</f>
        <v>0</v>
      </c>
      <c r="I118" s="18">
        <f>I119</f>
        <v>0</v>
      </c>
    </row>
    <row r="119" spans="1:9" s="73" customFormat="1" x14ac:dyDescent="0.25">
      <c r="A119" s="22">
        <v>102</v>
      </c>
      <c r="B119" s="81" t="s">
        <v>21</v>
      </c>
      <c r="C119" s="23" t="s">
        <v>216</v>
      </c>
      <c r="D119" s="21" t="s">
        <v>501</v>
      </c>
      <c r="E119" s="23" t="s">
        <v>502</v>
      </c>
      <c r="F119" s="22">
        <v>500</v>
      </c>
      <c r="G119" s="18">
        <f>G120</f>
        <v>5340</v>
      </c>
      <c r="H119" s="18">
        <f t="shared" si="36"/>
        <v>0</v>
      </c>
      <c r="I119" s="18">
        <f t="shared" si="36"/>
        <v>0</v>
      </c>
    </row>
    <row r="120" spans="1:9" s="73" customFormat="1" x14ac:dyDescent="0.25">
      <c r="A120" s="48">
        <v>103</v>
      </c>
      <c r="B120" s="81" t="s">
        <v>29</v>
      </c>
      <c r="C120" s="23" t="s">
        <v>216</v>
      </c>
      <c r="D120" s="21" t="s">
        <v>501</v>
      </c>
      <c r="E120" s="23" t="s">
        <v>502</v>
      </c>
      <c r="F120" s="22">
        <v>540</v>
      </c>
      <c r="G120" s="18">
        <v>5340</v>
      </c>
      <c r="H120" s="18">
        <v>0</v>
      </c>
      <c r="I120" s="18">
        <v>0</v>
      </c>
    </row>
    <row r="121" spans="1:9" s="73" customFormat="1" ht="15.75" x14ac:dyDescent="0.25">
      <c r="A121" s="22">
        <v>104</v>
      </c>
      <c r="B121" s="120" t="s">
        <v>339</v>
      </c>
      <c r="C121" s="23" t="s">
        <v>216</v>
      </c>
      <c r="D121" s="21" t="s">
        <v>336</v>
      </c>
      <c r="E121" s="23"/>
      <c r="F121" s="22"/>
      <c r="G121" s="18">
        <f t="shared" ref="G121:G126" si="37">G122</f>
        <v>250</v>
      </c>
      <c r="H121" s="18">
        <f t="shared" ref="H121:I126" si="38">H122</f>
        <v>0</v>
      </c>
      <c r="I121" s="18">
        <f t="shared" si="38"/>
        <v>0</v>
      </c>
    </row>
    <row r="122" spans="1:9" s="73" customFormat="1" ht="15.75" x14ac:dyDescent="0.25">
      <c r="A122" s="48">
        <v>105</v>
      </c>
      <c r="B122" s="120" t="s">
        <v>504</v>
      </c>
      <c r="C122" s="23" t="s">
        <v>216</v>
      </c>
      <c r="D122" s="21" t="s">
        <v>505</v>
      </c>
      <c r="E122" s="23"/>
      <c r="F122" s="22"/>
      <c r="G122" s="18">
        <f t="shared" si="37"/>
        <v>250</v>
      </c>
      <c r="H122" s="18">
        <f t="shared" si="38"/>
        <v>0</v>
      </c>
      <c r="I122" s="18">
        <f t="shared" si="38"/>
        <v>0</v>
      </c>
    </row>
    <row r="123" spans="1:9" s="73" customFormat="1" ht="30" x14ac:dyDescent="0.25">
      <c r="A123" s="22">
        <v>106</v>
      </c>
      <c r="B123" s="76" t="s">
        <v>337</v>
      </c>
      <c r="C123" s="23" t="s">
        <v>216</v>
      </c>
      <c r="D123" s="21" t="s">
        <v>505</v>
      </c>
      <c r="E123" s="23" t="s">
        <v>417</v>
      </c>
      <c r="F123" s="22"/>
      <c r="G123" s="18">
        <f t="shared" si="37"/>
        <v>250</v>
      </c>
      <c r="H123" s="18">
        <f t="shared" si="38"/>
        <v>0</v>
      </c>
      <c r="I123" s="18">
        <f t="shared" si="38"/>
        <v>0</v>
      </c>
    </row>
    <row r="124" spans="1:9" s="73" customFormat="1" ht="30" customHeight="1" x14ac:dyDescent="0.25">
      <c r="A124" s="48">
        <v>107</v>
      </c>
      <c r="B124" s="81" t="s">
        <v>430</v>
      </c>
      <c r="C124" s="23" t="s">
        <v>216</v>
      </c>
      <c r="D124" s="21" t="s">
        <v>505</v>
      </c>
      <c r="E124" s="23" t="s">
        <v>418</v>
      </c>
      <c r="F124" s="22"/>
      <c r="G124" s="18">
        <f t="shared" si="37"/>
        <v>250</v>
      </c>
      <c r="H124" s="18">
        <f t="shared" si="38"/>
        <v>0</v>
      </c>
      <c r="I124" s="18">
        <f t="shared" si="38"/>
        <v>0</v>
      </c>
    </row>
    <row r="125" spans="1:9" s="73" customFormat="1" ht="55.5" customHeight="1" x14ac:dyDescent="0.25">
      <c r="A125" s="22">
        <v>108</v>
      </c>
      <c r="B125" s="80" t="s">
        <v>512</v>
      </c>
      <c r="C125" s="23" t="s">
        <v>216</v>
      </c>
      <c r="D125" s="21" t="s">
        <v>505</v>
      </c>
      <c r="E125" s="23" t="s">
        <v>506</v>
      </c>
      <c r="F125" s="22"/>
      <c r="G125" s="18">
        <f t="shared" si="37"/>
        <v>250</v>
      </c>
      <c r="H125" s="18">
        <f t="shared" si="38"/>
        <v>0</v>
      </c>
      <c r="I125" s="18">
        <f t="shared" si="38"/>
        <v>0</v>
      </c>
    </row>
    <row r="126" spans="1:9" s="73" customFormat="1" ht="30" customHeight="1" x14ac:dyDescent="0.25">
      <c r="A126" s="48">
        <v>109</v>
      </c>
      <c r="B126" s="81" t="s">
        <v>21</v>
      </c>
      <c r="C126" s="23" t="s">
        <v>216</v>
      </c>
      <c r="D126" s="21" t="s">
        <v>505</v>
      </c>
      <c r="E126" s="23" t="s">
        <v>506</v>
      </c>
      <c r="F126" s="22">
        <v>500</v>
      </c>
      <c r="G126" s="18">
        <f t="shared" si="37"/>
        <v>250</v>
      </c>
      <c r="H126" s="18">
        <f t="shared" si="38"/>
        <v>0</v>
      </c>
      <c r="I126" s="18">
        <f t="shared" si="38"/>
        <v>0</v>
      </c>
    </row>
    <row r="127" spans="1:9" s="73" customFormat="1" x14ac:dyDescent="0.25">
      <c r="A127" s="22">
        <v>110</v>
      </c>
      <c r="B127" s="81" t="s">
        <v>29</v>
      </c>
      <c r="C127" s="23" t="s">
        <v>216</v>
      </c>
      <c r="D127" s="21" t="s">
        <v>505</v>
      </c>
      <c r="E127" s="23" t="s">
        <v>506</v>
      </c>
      <c r="F127" s="22">
        <v>540</v>
      </c>
      <c r="G127" s="18">
        <v>250</v>
      </c>
      <c r="H127" s="18">
        <v>0</v>
      </c>
      <c r="I127" s="18">
        <v>0</v>
      </c>
    </row>
    <row r="128" spans="1:9" ht="30" x14ac:dyDescent="0.25">
      <c r="A128" s="48">
        <v>111</v>
      </c>
      <c r="B128" s="58" t="s">
        <v>305</v>
      </c>
      <c r="C128" s="23" t="s">
        <v>216</v>
      </c>
      <c r="D128" s="39" t="s">
        <v>160</v>
      </c>
      <c r="E128" s="111"/>
      <c r="F128" s="111"/>
      <c r="G128" s="18">
        <f>G129+G138</f>
        <v>104625.236</v>
      </c>
      <c r="H128" s="18">
        <f t="shared" ref="H128:I128" si="39">H129+H138</f>
        <v>83892.360000000015</v>
      </c>
      <c r="I128" s="18">
        <f t="shared" si="39"/>
        <v>83892.360000000015</v>
      </c>
    </row>
    <row r="129" spans="1:9" ht="30" x14ac:dyDescent="0.25">
      <c r="A129" s="22">
        <v>112</v>
      </c>
      <c r="B129" s="81" t="s">
        <v>30</v>
      </c>
      <c r="C129" s="23" t="s">
        <v>216</v>
      </c>
      <c r="D129" s="39" t="s">
        <v>161</v>
      </c>
      <c r="E129" s="111"/>
      <c r="F129" s="111"/>
      <c r="G129" s="18">
        <f>G130</f>
        <v>28997.673000000003</v>
      </c>
      <c r="H129" s="18">
        <f t="shared" ref="H129:I130" si="40">H130</f>
        <v>26356.870000000003</v>
      </c>
      <c r="I129" s="18">
        <f t="shared" si="40"/>
        <v>26356.870000000003</v>
      </c>
    </row>
    <row r="130" spans="1:9" x14ac:dyDescent="0.25">
      <c r="A130" s="48">
        <v>113</v>
      </c>
      <c r="B130" s="117" t="s">
        <v>437</v>
      </c>
      <c r="C130" s="23" t="s">
        <v>216</v>
      </c>
      <c r="D130" s="39" t="s">
        <v>161</v>
      </c>
      <c r="E130" s="39" t="s">
        <v>225</v>
      </c>
      <c r="F130" s="111"/>
      <c r="G130" s="18">
        <f>G131</f>
        <v>28997.673000000003</v>
      </c>
      <c r="H130" s="18">
        <f t="shared" si="40"/>
        <v>26356.870000000003</v>
      </c>
      <c r="I130" s="18">
        <f t="shared" si="40"/>
        <v>26356.870000000003</v>
      </c>
    </row>
    <row r="131" spans="1:9" ht="30" x14ac:dyDescent="0.25">
      <c r="A131" s="22">
        <v>114</v>
      </c>
      <c r="B131" s="117" t="s">
        <v>31</v>
      </c>
      <c r="C131" s="23" t="s">
        <v>216</v>
      </c>
      <c r="D131" s="39" t="s">
        <v>161</v>
      </c>
      <c r="E131" s="39" t="s">
        <v>231</v>
      </c>
      <c r="F131" s="111"/>
      <c r="G131" s="18">
        <f>G132+G135</f>
        <v>28997.673000000003</v>
      </c>
      <c r="H131" s="18">
        <f t="shared" ref="H131:I131" si="41">H132+H135</f>
        <v>26356.870000000003</v>
      </c>
      <c r="I131" s="18">
        <f t="shared" si="41"/>
        <v>26356.870000000003</v>
      </c>
    </row>
    <row r="132" spans="1:9" ht="45" x14ac:dyDescent="0.25">
      <c r="A132" s="48">
        <v>115</v>
      </c>
      <c r="B132" s="117" t="s">
        <v>32</v>
      </c>
      <c r="C132" s="23" t="s">
        <v>216</v>
      </c>
      <c r="D132" s="39" t="s">
        <v>161</v>
      </c>
      <c r="E132" s="39" t="s">
        <v>232</v>
      </c>
      <c r="F132" s="111"/>
      <c r="G132" s="18">
        <f>G133</f>
        <v>12156.2</v>
      </c>
      <c r="H132" s="18">
        <f t="shared" ref="H132:I132" si="42">H133</f>
        <v>9515.4</v>
      </c>
      <c r="I132" s="18">
        <f t="shared" si="42"/>
        <v>9515.4</v>
      </c>
    </row>
    <row r="133" spans="1:9" x14ac:dyDescent="0.25">
      <c r="A133" s="22">
        <v>116</v>
      </c>
      <c r="B133" s="81" t="s">
        <v>21</v>
      </c>
      <c r="C133" s="23" t="s">
        <v>216</v>
      </c>
      <c r="D133" s="39" t="s">
        <v>161</v>
      </c>
      <c r="E133" s="39" t="s">
        <v>232</v>
      </c>
      <c r="F133" s="111">
        <v>500</v>
      </c>
      <c r="G133" s="18">
        <f>G134</f>
        <v>12156.2</v>
      </c>
      <c r="H133" s="18">
        <f t="shared" ref="H133:I133" si="43">H134</f>
        <v>9515.4</v>
      </c>
      <c r="I133" s="18">
        <f t="shared" si="43"/>
        <v>9515.4</v>
      </c>
    </row>
    <row r="134" spans="1:9" x14ac:dyDescent="0.25">
      <c r="A134" s="48">
        <v>117</v>
      </c>
      <c r="B134" s="81" t="s">
        <v>33</v>
      </c>
      <c r="C134" s="23" t="s">
        <v>216</v>
      </c>
      <c r="D134" s="39" t="s">
        <v>161</v>
      </c>
      <c r="E134" s="39" t="s">
        <v>232</v>
      </c>
      <c r="F134" s="111">
        <v>510</v>
      </c>
      <c r="G134" s="18">
        <v>12156.2</v>
      </c>
      <c r="H134" s="18">
        <v>9515.4</v>
      </c>
      <c r="I134" s="18">
        <v>9515.4</v>
      </c>
    </row>
    <row r="135" spans="1:9" ht="45" x14ac:dyDescent="0.25">
      <c r="A135" s="22">
        <v>118</v>
      </c>
      <c r="B135" s="117" t="s">
        <v>34</v>
      </c>
      <c r="C135" s="23" t="s">
        <v>216</v>
      </c>
      <c r="D135" s="39" t="s">
        <v>161</v>
      </c>
      <c r="E135" s="39" t="s">
        <v>233</v>
      </c>
      <c r="F135" s="111"/>
      <c r="G135" s="18">
        <f>G136</f>
        <v>16841.473000000002</v>
      </c>
      <c r="H135" s="18">
        <f t="shared" ref="H135:I136" si="44">H136</f>
        <v>16841.47</v>
      </c>
      <c r="I135" s="18">
        <f t="shared" si="44"/>
        <v>16841.47</v>
      </c>
    </row>
    <row r="136" spans="1:9" x14ac:dyDescent="0.25">
      <c r="A136" s="48">
        <v>119</v>
      </c>
      <c r="B136" s="81" t="s">
        <v>21</v>
      </c>
      <c r="C136" s="23" t="s">
        <v>216</v>
      </c>
      <c r="D136" s="39" t="s">
        <v>161</v>
      </c>
      <c r="E136" s="39" t="s">
        <v>233</v>
      </c>
      <c r="F136" s="111">
        <v>500</v>
      </c>
      <c r="G136" s="18">
        <f>G137</f>
        <v>16841.473000000002</v>
      </c>
      <c r="H136" s="18">
        <f t="shared" si="44"/>
        <v>16841.47</v>
      </c>
      <c r="I136" s="18">
        <f t="shared" si="44"/>
        <v>16841.47</v>
      </c>
    </row>
    <row r="137" spans="1:9" x14ac:dyDescent="0.25">
      <c r="A137" s="22">
        <v>120</v>
      </c>
      <c r="B137" s="81" t="s">
        <v>33</v>
      </c>
      <c r="C137" s="23" t="s">
        <v>216</v>
      </c>
      <c r="D137" s="39" t="s">
        <v>161</v>
      </c>
      <c r="E137" s="39" t="s">
        <v>233</v>
      </c>
      <c r="F137" s="111">
        <v>510</v>
      </c>
      <c r="G137" s="18">
        <v>16841.473000000002</v>
      </c>
      <c r="H137" s="18">
        <v>16841.47</v>
      </c>
      <c r="I137" s="18">
        <v>16841.47</v>
      </c>
    </row>
    <row r="138" spans="1:9" x14ac:dyDescent="0.25">
      <c r="A138" s="48">
        <v>121</v>
      </c>
      <c r="B138" s="57" t="s">
        <v>306</v>
      </c>
      <c r="C138" s="23" t="s">
        <v>216</v>
      </c>
      <c r="D138" s="39" t="s">
        <v>162</v>
      </c>
      <c r="E138" s="111"/>
      <c r="F138" s="111"/>
      <c r="G138" s="18">
        <f>G139+G144</f>
        <v>75627.563000000009</v>
      </c>
      <c r="H138" s="18">
        <f t="shared" ref="H138:I138" si="45">H139+H144</f>
        <v>57535.490000000005</v>
      </c>
      <c r="I138" s="18">
        <f t="shared" si="45"/>
        <v>57535.490000000005</v>
      </c>
    </row>
    <row r="139" spans="1:9" x14ac:dyDescent="0.25">
      <c r="A139" s="22">
        <v>122</v>
      </c>
      <c r="B139" s="117" t="s">
        <v>438</v>
      </c>
      <c r="C139" s="23" t="s">
        <v>216</v>
      </c>
      <c r="D139" s="39" t="s">
        <v>162</v>
      </c>
      <c r="E139" s="39" t="s">
        <v>225</v>
      </c>
      <c r="F139" s="111"/>
      <c r="G139" s="18">
        <f>G140</f>
        <v>75246.493000000002</v>
      </c>
      <c r="H139" s="18">
        <f t="shared" ref="H139:I139" si="46">H140</f>
        <v>57535.490000000005</v>
      </c>
      <c r="I139" s="18">
        <f t="shared" si="46"/>
        <v>57535.490000000005</v>
      </c>
    </row>
    <row r="140" spans="1:9" ht="30" x14ac:dyDescent="0.25">
      <c r="A140" s="48">
        <v>123</v>
      </c>
      <c r="B140" s="117" t="s">
        <v>31</v>
      </c>
      <c r="C140" s="23" t="s">
        <v>216</v>
      </c>
      <c r="D140" s="39" t="s">
        <v>162</v>
      </c>
      <c r="E140" s="39" t="s">
        <v>231</v>
      </c>
      <c r="F140" s="111"/>
      <c r="G140" s="18">
        <f>G141</f>
        <v>75246.493000000002</v>
      </c>
      <c r="H140" s="18">
        <f t="shared" ref="H140:I140" si="47">H141</f>
        <v>57535.490000000005</v>
      </c>
      <c r="I140" s="18">
        <f t="shared" si="47"/>
        <v>57535.490000000005</v>
      </c>
    </row>
    <row r="141" spans="1:9" ht="30" x14ac:dyDescent="0.25">
      <c r="A141" s="22">
        <v>124</v>
      </c>
      <c r="B141" s="117" t="s">
        <v>35</v>
      </c>
      <c r="C141" s="23" t="s">
        <v>216</v>
      </c>
      <c r="D141" s="39" t="s">
        <v>162</v>
      </c>
      <c r="E141" s="39" t="s">
        <v>234</v>
      </c>
      <c r="F141" s="111"/>
      <c r="G141" s="18">
        <f>G142</f>
        <v>75246.493000000002</v>
      </c>
      <c r="H141" s="18">
        <f t="shared" ref="H141:I141" si="48">H142</f>
        <v>57535.490000000005</v>
      </c>
      <c r="I141" s="18">
        <f t="shared" si="48"/>
        <v>57535.490000000005</v>
      </c>
    </row>
    <row r="142" spans="1:9" x14ac:dyDescent="0.25">
      <c r="A142" s="48">
        <v>125</v>
      </c>
      <c r="B142" s="81" t="s">
        <v>21</v>
      </c>
      <c r="C142" s="23" t="s">
        <v>216</v>
      </c>
      <c r="D142" s="39" t="s">
        <v>162</v>
      </c>
      <c r="E142" s="39" t="s">
        <v>234</v>
      </c>
      <c r="F142" s="111">
        <v>500</v>
      </c>
      <c r="G142" s="18">
        <f>G143</f>
        <v>75246.493000000002</v>
      </c>
      <c r="H142" s="18">
        <f t="shared" ref="H142:I142" si="49">H143</f>
        <v>57535.490000000005</v>
      </c>
      <c r="I142" s="18">
        <f t="shared" si="49"/>
        <v>57535.490000000005</v>
      </c>
    </row>
    <row r="143" spans="1:9" x14ac:dyDescent="0.25">
      <c r="A143" s="22">
        <v>126</v>
      </c>
      <c r="B143" s="81" t="s">
        <v>29</v>
      </c>
      <c r="C143" s="23" t="s">
        <v>216</v>
      </c>
      <c r="D143" s="39" t="s">
        <v>162</v>
      </c>
      <c r="E143" s="39" t="s">
        <v>234</v>
      </c>
      <c r="F143" s="111">
        <v>540</v>
      </c>
      <c r="G143" s="18">
        <f>56563.76+971.73+11600.003+511+1000+4600</f>
        <v>75246.493000000002</v>
      </c>
      <c r="H143" s="18">
        <f>56563.76+971.73</f>
        <v>57535.490000000005</v>
      </c>
      <c r="I143" s="18">
        <f>56563.76+971.73</f>
        <v>57535.490000000005</v>
      </c>
    </row>
    <row r="144" spans="1:9" x14ac:dyDescent="0.25">
      <c r="A144" s="48">
        <v>127</v>
      </c>
      <c r="B144" s="81" t="s">
        <v>26</v>
      </c>
      <c r="C144" s="23" t="s">
        <v>216</v>
      </c>
      <c r="D144" s="39" t="s">
        <v>162</v>
      </c>
      <c r="E144" s="111">
        <v>9200000000</v>
      </c>
      <c r="F144" s="111"/>
      <c r="G144" s="18">
        <f>G145</f>
        <v>381.07</v>
      </c>
      <c r="H144" s="18">
        <f t="shared" ref="H144:I147" si="50">H145</f>
        <v>0</v>
      </c>
      <c r="I144" s="18">
        <f t="shared" si="50"/>
        <v>0</v>
      </c>
    </row>
    <row r="145" spans="1:9" x14ac:dyDescent="0.25">
      <c r="A145" s="22">
        <v>128</v>
      </c>
      <c r="B145" s="112" t="s">
        <v>350</v>
      </c>
      <c r="C145" s="23" t="s">
        <v>216</v>
      </c>
      <c r="D145" s="39" t="s">
        <v>162</v>
      </c>
      <c r="E145" s="111">
        <v>9210000000</v>
      </c>
      <c r="F145" s="111"/>
      <c r="G145" s="18">
        <f>G146</f>
        <v>381.07</v>
      </c>
      <c r="H145" s="18">
        <f t="shared" si="50"/>
        <v>0</v>
      </c>
      <c r="I145" s="18">
        <f t="shared" si="50"/>
        <v>0</v>
      </c>
    </row>
    <row r="146" spans="1:9" ht="80.25" customHeight="1" x14ac:dyDescent="0.25">
      <c r="A146" s="48">
        <v>129</v>
      </c>
      <c r="B146" s="80" t="s">
        <v>556</v>
      </c>
      <c r="C146" s="23" t="s">
        <v>216</v>
      </c>
      <c r="D146" s="39" t="s">
        <v>162</v>
      </c>
      <c r="E146" s="39" t="s">
        <v>524</v>
      </c>
      <c r="F146" s="111"/>
      <c r="G146" s="18">
        <f>G147</f>
        <v>381.07</v>
      </c>
      <c r="H146" s="18">
        <f t="shared" si="50"/>
        <v>0</v>
      </c>
      <c r="I146" s="18">
        <f t="shared" si="50"/>
        <v>0</v>
      </c>
    </row>
    <row r="147" spans="1:9" x14ac:dyDescent="0.25">
      <c r="A147" s="22">
        <v>130</v>
      </c>
      <c r="B147" s="81" t="s">
        <v>21</v>
      </c>
      <c r="C147" s="23" t="s">
        <v>216</v>
      </c>
      <c r="D147" s="39" t="s">
        <v>162</v>
      </c>
      <c r="E147" s="39" t="s">
        <v>524</v>
      </c>
      <c r="F147" s="111">
        <v>500</v>
      </c>
      <c r="G147" s="18">
        <f>G148</f>
        <v>381.07</v>
      </c>
      <c r="H147" s="18">
        <f t="shared" si="50"/>
        <v>0</v>
      </c>
      <c r="I147" s="18">
        <f t="shared" si="50"/>
        <v>0</v>
      </c>
    </row>
    <row r="148" spans="1:9" x14ac:dyDescent="0.25">
      <c r="A148" s="48">
        <v>131</v>
      </c>
      <c r="B148" s="81" t="s">
        <v>29</v>
      </c>
      <c r="C148" s="23" t="s">
        <v>216</v>
      </c>
      <c r="D148" s="39" t="s">
        <v>162</v>
      </c>
      <c r="E148" s="39" t="s">
        <v>524</v>
      </c>
      <c r="F148" s="111">
        <v>540</v>
      </c>
      <c r="G148" s="18">
        <v>381.07</v>
      </c>
      <c r="H148" s="18">
        <v>0</v>
      </c>
      <c r="I148" s="18">
        <v>0</v>
      </c>
    </row>
    <row r="149" spans="1:9" ht="24.75" customHeight="1" x14ac:dyDescent="0.25">
      <c r="A149" s="22">
        <v>132</v>
      </c>
      <c r="B149" s="54" t="s">
        <v>307</v>
      </c>
      <c r="C149" s="50" t="s">
        <v>204</v>
      </c>
      <c r="D149" s="46"/>
      <c r="E149" s="46"/>
      <c r="F149" s="46"/>
      <c r="G149" s="47">
        <f>G150+G230+G285+G301+G319</f>
        <v>231222.94</v>
      </c>
      <c r="H149" s="47">
        <f>H150+H230+H285+H301+H319</f>
        <v>108838.17000000001</v>
      </c>
      <c r="I149" s="47">
        <f>I150+I230+I285+I301+I319</f>
        <v>108905.48999999999</v>
      </c>
    </row>
    <row r="150" spans="1:9" x14ac:dyDescent="0.25">
      <c r="A150" s="48">
        <v>133</v>
      </c>
      <c r="B150" s="57" t="s">
        <v>115</v>
      </c>
      <c r="C150" s="39" t="s">
        <v>204</v>
      </c>
      <c r="D150" s="39" t="s">
        <v>116</v>
      </c>
      <c r="E150" s="111"/>
      <c r="F150" s="111"/>
      <c r="G150" s="18">
        <f>G151+G163+G182+G188+G194</f>
        <v>50933.919999999998</v>
      </c>
      <c r="H150" s="18">
        <f>H151+H163+H182+H188+H194</f>
        <v>28924.089999999997</v>
      </c>
      <c r="I150" s="18">
        <f>I151+I163+I182+I188+I194</f>
        <v>29654.389999999996</v>
      </c>
    </row>
    <row r="151" spans="1:9" ht="30" x14ac:dyDescent="0.25">
      <c r="A151" s="22">
        <v>134</v>
      </c>
      <c r="B151" s="81" t="s">
        <v>117</v>
      </c>
      <c r="C151" s="39" t="s">
        <v>204</v>
      </c>
      <c r="D151" s="39" t="s">
        <v>118</v>
      </c>
      <c r="E151" s="111"/>
      <c r="F151" s="111"/>
      <c r="G151" s="18">
        <f>G152</f>
        <v>1408.3799999999999</v>
      </c>
      <c r="H151" s="18">
        <f t="shared" ref="H151:I151" si="51">H154+H160</f>
        <v>1379.84</v>
      </c>
      <c r="I151" s="18">
        <f t="shared" si="51"/>
        <v>1379.84</v>
      </c>
    </row>
    <row r="152" spans="1:9" x14ac:dyDescent="0.25">
      <c r="A152" s="48">
        <v>135</v>
      </c>
      <c r="B152" s="80" t="s">
        <v>343</v>
      </c>
      <c r="C152" s="39" t="s">
        <v>204</v>
      </c>
      <c r="D152" s="39" t="s">
        <v>118</v>
      </c>
      <c r="E152" s="111">
        <v>8500000000</v>
      </c>
      <c r="F152" s="111"/>
      <c r="G152" s="18">
        <f>G153</f>
        <v>1408.3799999999999</v>
      </c>
      <c r="H152" s="18">
        <f t="shared" ref="H152:I153" si="52">H153</f>
        <v>1379.84</v>
      </c>
      <c r="I152" s="18">
        <f t="shared" si="52"/>
        <v>1379.84</v>
      </c>
    </row>
    <row r="153" spans="1:9" x14ac:dyDescent="0.25">
      <c r="A153" s="22">
        <v>136</v>
      </c>
      <c r="B153" s="80" t="s">
        <v>344</v>
      </c>
      <c r="C153" s="39" t="s">
        <v>204</v>
      </c>
      <c r="D153" s="39" t="s">
        <v>118</v>
      </c>
      <c r="E153" s="111">
        <v>8510000000</v>
      </c>
      <c r="F153" s="111"/>
      <c r="G153" s="18">
        <f>G154+G157+G160</f>
        <v>1408.3799999999999</v>
      </c>
      <c r="H153" s="18">
        <f t="shared" si="52"/>
        <v>1379.84</v>
      </c>
      <c r="I153" s="18">
        <f t="shared" si="52"/>
        <v>1379.84</v>
      </c>
    </row>
    <row r="154" spans="1:9" ht="30" x14ac:dyDescent="0.25">
      <c r="A154" s="48">
        <v>137</v>
      </c>
      <c r="B154" s="112" t="s">
        <v>345</v>
      </c>
      <c r="C154" s="39" t="s">
        <v>204</v>
      </c>
      <c r="D154" s="39" t="s">
        <v>118</v>
      </c>
      <c r="E154" s="111">
        <v>8510000210</v>
      </c>
      <c r="F154" s="111"/>
      <c r="G154" s="18">
        <f>G155</f>
        <v>630.80999999999995</v>
      </c>
      <c r="H154" s="18">
        <f t="shared" ref="H154:I154" si="53">H155</f>
        <v>1379.84</v>
      </c>
      <c r="I154" s="18">
        <f t="shared" si="53"/>
        <v>1379.84</v>
      </c>
    </row>
    <row r="155" spans="1:9" ht="45" x14ac:dyDescent="0.25">
      <c r="A155" s="22">
        <v>138</v>
      </c>
      <c r="B155" s="112" t="s">
        <v>177</v>
      </c>
      <c r="C155" s="39" t="s">
        <v>204</v>
      </c>
      <c r="D155" s="39" t="s">
        <v>118</v>
      </c>
      <c r="E155" s="111">
        <v>8510000210</v>
      </c>
      <c r="F155" s="111">
        <v>100</v>
      </c>
      <c r="G155" s="18">
        <f>G156</f>
        <v>630.80999999999995</v>
      </c>
      <c r="H155" s="18">
        <f>H156</f>
        <v>1379.84</v>
      </c>
      <c r="I155" s="18">
        <f>I156</f>
        <v>1379.84</v>
      </c>
    </row>
    <row r="156" spans="1:9" x14ac:dyDescent="0.25">
      <c r="A156" s="48">
        <v>139</v>
      </c>
      <c r="B156" s="24" t="s">
        <v>18</v>
      </c>
      <c r="C156" s="39" t="s">
        <v>204</v>
      </c>
      <c r="D156" s="39" t="s">
        <v>118</v>
      </c>
      <c r="E156" s="111">
        <v>8510000210</v>
      </c>
      <c r="F156" s="111">
        <v>120</v>
      </c>
      <c r="G156" s="18">
        <f>1379.84-749.03</f>
        <v>630.80999999999995</v>
      </c>
      <c r="H156" s="18">
        <v>1379.84</v>
      </c>
      <c r="I156" s="18">
        <v>1379.84</v>
      </c>
    </row>
    <row r="157" spans="1:9" ht="60" x14ac:dyDescent="0.25">
      <c r="A157" s="22">
        <v>140</v>
      </c>
      <c r="B157" s="118" t="s">
        <v>556</v>
      </c>
      <c r="C157" s="39" t="s">
        <v>204</v>
      </c>
      <c r="D157" s="39" t="s">
        <v>118</v>
      </c>
      <c r="E157" s="111">
        <v>8510010380</v>
      </c>
      <c r="F157" s="111"/>
      <c r="G157" s="18">
        <f>G158</f>
        <v>17.8</v>
      </c>
      <c r="H157" s="18">
        <f t="shared" ref="H157:I158" si="54">H158</f>
        <v>0</v>
      </c>
      <c r="I157" s="18">
        <f t="shared" si="54"/>
        <v>0</v>
      </c>
    </row>
    <row r="158" spans="1:9" ht="45" x14ac:dyDescent="0.25">
      <c r="A158" s="48">
        <v>141</v>
      </c>
      <c r="B158" s="112" t="s">
        <v>177</v>
      </c>
      <c r="C158" s="39" t="s">
        <v>204</v>
      </c>
      <c r="D158" s="39" t="s">
        <v>118</v>
      </c>
      <c r="E158" s="111">
        <v>8510010380</v>
      </c>
      <c r="F158" s="111">
        <v>100</v>
      </c>
      <c r="G158" s="18">
        <f>G159</f>
        <v>17.8</v>
      </c>
      <c r="H158" s="18">
        <f t="shared" si="54"/>
        <v>0</v>
      </c>
      <c r="I158" s="18">
        <f t="shared" si="54"/>
        <v>0</v>
      </c>
    </row>
    <row r="159" spans="1:9" x14ac:dyDescent="0.25">
      <c r="A159" s="22">
        <v>142</v>
      </c>
      <c r="B159" s="24" t="s">
        <v>18</v>
      </c>
      <c r="C159" s="39" t="s">
        <v>204</v>
      </c>
      <c r="D159" s="39" t="s">
        <v>118</v>
      </c>
      <c r="E159" s="111">
        <v>8510010380</v>
      </c>
      <c r="F159" s="111">
        <v>120</v>
      </c>
      <c r="G159" s="18">
        <v>17.8</v>
      </c>
      <c r="H159" s="18">
        <v>0</v>
      </c>
      <c r="I159" s="18">
        <v>0</v>
      </c>
    </row>
    <row r="160" spans="1:9" ht="30" x14ac:dyDescent="0.25">
      <c r="A160" s="48">
        <v>143</v>
      </c>
      <c r="B160" s="24" t="s">
        <v>484</v>
      </c>
      <c r="C160" s="39" t="s">
        <v>204</v>
      </c>
      <c r="D160" s="39" t="s">
        <v>118</v>
      </c>
      <c r="E160" s="111">
        <v>8510010390</v>
      </c>
      <c r="F160" s="111"/>
      <c r="G160" s="18">
        <f>G161</f>
        <v>759.77</v>
      </c>
      <c r="H160" s="18">
        <f t="shared" ref="H160:I161" si="55">H161</f>
        <v>0</v>
      </c>
      <c r="I160" s="18">
        <f t="shared" si="55"/>
        <v>0</v>
      </c>
    </row>
    <row r="161" spans="1:10" ht="45" x14ac:dyDescent="0.25">
      <c r="A161" s="22">
        <v>144</v>
      </c>
      <c r="B161" s="112" t="s">
        <v>177</v>
      </c>
      <c r="C161" s="39" t="s">
        <v>204</v>
      </c>
      <c r="D161" s="39" t="s">
        <v>118</v>
      </c>
      <c r="E161" s="111">
        <v>8510010390</v>
      </c>
      <c r="F161" s="111">
        <v>100</v>
      </c>
      <c r="G161" s="18">
        <f>G162</f>
        <v>759.77</v>
      </c>
      <c r="H161" s="18">
        <f t="shared" si="55"/>
        <v>0</v>
      </c>
      <c r="I161" s="18">
        <f t="shared" si="55"/>
        <v>0</v>
      </c>
    </row>
    <row r="162" spans="1:10" x14ac:dyDescent="0.25">
      <c r="A162" s="48">
        <v>145</v>
      </c>
      <c r="B162" s="24" t="s">
        <v>18</v>
      </c>
      <c r="C162" s="39" t="s">
        <v>204</v>
      </c>
      <c r="D162" s="39" t="s">
        <v>118</v>
      </c>
      <c r="E162" s="111">
        <v>8510010390</v>
      </c>
      <c r="F162" s="111">
        <v>120</v>
      </c>
      <c r="G162" s="18">
        <f>1025-265.23</f>
        <v>759.77</v>
      </c>
      <c r="H162" s="18">
        <v>0</v>
      </c>
      <c r="I162" s="18">
        <v>0</v>
      </c>
      <c r="J162" s="73">
        <v>-265.23</v>
      </c>
    </row>
    <row r="163" spans="1:10" ht="30" x14ac:dyDescent="0.25">
      <c r="A163" s="22">
        <v>146</v>
      </c>
      <c r="B163" s="81" t="s">
        <v>19</v>
      </c>
      <c r="C163" s="39" t="s">
        <v>204</v>
      </c>
      <c r="D163" s="39" t="s">
        <v>121</v>
      </c>
      <c r="E163" s="111"/>
      <c r="F163" s="111"/>
      <c r="G163" s="18">
        <f>G164</f>
        <v>26564.379999999994</v>
      </c>
      <c r="H163" s="18">
        <f t="shared" ref="H163:I164" si="56">H164</f>
        <v>25558.029999999995</v>
      </c>
      <c r="I163" s="18">
        <f t="shared" si="56"/>
        <v>25558.029999999995</v>
      </c>
    </row>
    <row r="164" spans="1:10" x14ac:dyDescent="0.25">
      <c r="A164" s="48">
        <v>147</v>
      </c>
      <c r="B164" s="80" t="s">
        <v>343</v>
      </c>
      <c r="C164" s="39" t="s">
        <v>204</v>
      </c>
      <c r="D164" s="39" t="s">
        <v>121</v>
      </c>
      <c r="E164" s="39" t="s">
        <v>346</v>
      </c>
      <c r="F164" s="111"/>
      <c r="G164" s="18">
        <f>G165</f>
        <v>26564.379999999994</v>
      </c>
      <c r="H164" s="18">
        <f t="shared" si="56"/>
        <v>25558.029999999995</v>
      </c>
      <c r="I164" s="18">
        <f t="shared" si="56"/>
        <v>25558.029999999995</v>
      </c>
    </row>
    <row r="165" spans="1:10" x14ac:dyDescent="0.25">
      <c r="A165" s="22">
        <v>148</v>
      </c>
      <c r="B165" s="80" t="s">
        <v>344</v>
      </c>
      <c r="C165" s="39" t="s">
        <v>204</v>
      </c>
      <c r="D165" s="39" t="s">
        <v>121</v>
      </c>
      <c r="E165" s="39" t="s">
        <v>347</v>
      </c>
      <c r="F165" s="111"/>
      <c r="G165" s="18">
        <f>G166+G173+G176+G179</f>
        <v>26564.379999999994</v>
      </c>
      <c r="H165" s="18">
        <f t="shared" ref="H165:I165" si="57">H166+H173+H176+H179</f>
        <v>25558.029999999995</v>
      </c>
      <c r="I165" s="18">
        <f t="shared" si="57"/>
        <v>25558.029999999995</v>
      </c>
    </row>
    <row r="166" spans="1:10" ht="30" x14ac:dyDescent="0.25">
      <c r="A166" s="48">
        <v>149</v>
      </c>
      <c r="B166" s="112" t="s">
        <v>348</v>
      </c>
      <c r="C166" s="39" t="s">
        <v>204</v>
      </c>
      <c r="D166" s="39" t="s">
        <v>121</v>
      </c>
      <c r="E166" s="39" t="s">
        <v>349</v>
      </c>
      <c r="F166" s="111"/>
      <c r="G166" s="18">
        <f>G167+G169+G171</f>
        <v>26014.639999999996</v>
      </c>
      <c r="H166" s="18">
        <f t="shared" ref="H166:I166" si="58">H167+H169+H171</f>
        <v>25558.029999999995</v>
      </c>
      <c r="I166" s="18">
        <f t="shared" si="58"/>
        <v>25558.029999999995</v>
      </c>
    </row>
    <row r="167" spans="1:10" ht="45" x14ac:dyDescent="0.25">
      <c r="A167" s="22">
        <v>150</v>
      </c>
      <c r="B167" s="81" t="s">
        <v>17</v>
      </c>
      <c r="C167" s="39" t="s">
        <v>204</v>
      </c>
      <c r="D167" s="39" t="s">
        <v>121</v>
      </c>
      <c r="E167" s="39" t="s">
        <v>349</v>
      </c>
      <c r="F167" s="111">
        <v>100</v>
      </c>
      <c r="G167" s="18">
        <f>G168</f>
        <v>18237.3</v>
      </c>
      <c r="H167" s="18">
        <f t="shared" ref="H167:I167" si="59">H168</f>
        <v>17780.689999999999</v>
      </c>
      <c r="I167" s="18">
        <f t="shared" si="59"/>
        <v>17780.689999999999</v>
      </c>
    </row>
    <row r="168" spans="1:10" x14ac:dyDescent="0.25">
      <c r="A168" s="48">
        <v>151</v>
      </c>
      <c r="B168" s="81" t="s">
        <v>18</v>
      </c>
      <c r="C168" s="39" t="s">
        <v>204</v>
      </c>
      <c r="D168" s="39" t="s">
        <v>121</v>
      </c>
      <c r="E168" s="39" t="s">
        <v>349</v>
      </c>
      <c r="F168" s="111">
        <v>120</v>
      </c>
      <c r="G168" s="18">
        <f>17780.69+456.61</f>
        <v>18237.3</v>
      </c>
      <c r="H168" s="18">
        <v>17780.689999999999</v>
      </c>
      <c r="I168" s="18">
        <v>17780.689999999999</v>
      </c>
    </row>
    <row r="169" spans="1:10" x14ac:dyDescent="0.25">
      <c r="A169" s="22">
        <v>152</v>
      </c>
      <c r="B169" s="81" t="s">
        <v>23</v>
      </c>
      <c r="C169" s="39" t="s">
        <v>204</v>
      </c>
      <c r="D169" s="39" t="s">
        <v>121</v>
      </c>
      <c r="E169" s="39" t="s">
        <v>349</v>
      </c>
      <c r="F169" s="111">
        <v>200</v>
      </c>
      <c r="G169" s="18">
        <f>G170</f>
        <v>7137.9</v>
      </c>
      <c r="H169" s="18">
        <f t="shared" ref="H169:I169" si="60">H170</f>
        <v>7137.9</v>
      </c>
      <c r="I169" s="18">
        <f t="shared" si="60"/>
        <v>7137.9</v>
      </c>
    </row>
    <row r="170" spans="1:10" x14ac:dyDescent="0.25">
      <c r="A170" s="48">
        <v>153</v>
      </c>
      <c r="B170" s="81" t="s">
        <v>24</v>
      </c>
      <c r="C170" s="39" t="s">
        <v>204</v>
      </c>
      <c r="D170" s="39" t="s">
        <v>121</v>
      </c>
      <c r="E170" s="39" t="s">
        <v>349</v>
      </c>
      <c r="F170" s="111">
        <v>240</v>
      </c>
      <c r="G170" s="18">
        <f>7237.9-100</f>
        <v>7137.9</v>
      </c>
      <c r="H170" s="18">
        <f>7237.9-100</f>
        <v>7137.9</v>
      </c>
      <c r="I170" s="18">
        <f>7237.9-100</f>
        <v>7137.9</v>
      </c>
    </row>
    <row r="171" spans="1:10" x14ac:dyDescent="0.25">
      <c r="A171" s="22">
        <v>154</v>
      </c>
      <c r="B171" s="81" t="s">
        <v>38</v>
      </c>
      <c r="C171" s="39" t="s">
        <v>204</v>
      </c>
      <c r="D171" s="39" t="s">
        <v>121</v>
      </c>
      <c r="E171" s="39" t="s">
        <v>349</v>
      </c>
      <c r="F171" s="111">
        <v>800</v>
      </c>
      <c r="G171" s="18">
        <f>G172</f>
        <v>639.44000000000005</v>
      </c>
      <c r="H171" s="18">
        <f t="shared" ref="H171:I171" si="61">H172</f>
        <v>639.44000000000005</v>
      </c>
      <c r="I171" s="18">
        <f t="shared" si="61"/>
        <v>639.44000000000005</v>
      </c>
    </row>
    <row r="172" spans="1:10" x14ac:dyDescent="0.25">
      <c r="A172" s="48">
        <v>155</v>
      </c>
      <c r="B172" s="81" t="s">
        <v>108</v>
      </c>
      <c r="C172" s="39" t="s">
        <v>204</v>
      </c>
      <c r="D172" s="39" t="s">
        <v>121</v>
      </c>
      <c r="E172" s="39" t="s">
        <v>349</v>
      </c>
      <c r="F172" s="111">
        <v>850</v>
      </c>
      <c r="G172" s="18">
        <v>639.44000000000005</v>
      </c>
      <c r="H172" s="18">
        <v>639.44000000000005</v>
      </c>
      <c r="I172" s="18">
        <v>639.44000000000005</v>
      </c>
    </row>
    <row r="173" spans="1:10" ht="30" x14ac:dyDescent="0.25">
      <c r="A173" s="22">
        <v>156</v>
      </c>
      <c r="B173" s="112" t="s">
        <v>443</v>
      </c>
      <c r="C173" s="39" t="s">
        <v>204</v>
      </c>
      <c r="D173" s="39" t="s">
        <v>121</v>
      </c>
      <c r="E173" s="39" t="s">
        <v>449</v>
      </c>
      <c r="F173" s="111"/>
      <c r="G173" s="18">
        <f>G174</f>
        <v>105</v>
      </c>
      <c r="H173" s="18"/>
      <c r="I173" s="18"/>
    </row>
    <row r="174" spans="1:10" ht="45" x14ac:dyDescent="0.25">
      <c r="A174" s="48">
        <v>157</v>
      </c>
      <c r="B174" s="81" t="s">
        <v>17</v>
      </c>
      <c r="C174" s="39" t="s">
        <v>204</v>
      </c>
      <c r="D174" s="39" t="s">
        <v>121</v>
      </c>
      <c r="E174" s="39" t="s">
        <v>449</v>
      </c>
      <c r="F174" s="111">
        <v>100</v>
      </c>
      <c r="G174" s="18">
        <f>G175</f>
        <v>105</v>
      </c>
      <c r="H174" s="18"/>
      <c r="I174" s="18"/>
    </row>
    <row r="175" spans="1:10" x14ac:dyDescent="0.25">
      <c r="A175" s="22">
        <v>158</v>
      </c>
      <c r="B175" s="81" t="s">
        <v>18</v>
      </c>
      <c r="C175" s="39" t="s">
        <v>204</v>
      </c>
      <c r="D175" s="39" t="s">
        <v>121</v>
      </c>
      <c r="E175" s="39" t="s">
        <v>449</v>
      </c>
      <c r="F175" s="111">
        <v>120</v>
      </c>
      <c r="G175" s="18">
        <v>105</v>
      </c>
      <c r="H175" s="18"/>
      <c r="I175" s="18"/>
    </row>
    <row r="176" spans="1:10" ht="60" x14ac:dyDescent="0.25">
      <c r="A176" s="48">
        <v>159</v>
      </c>
      <c r="B176" s="118" t="s">
        <v>556</v>
      </c>
      <c r="C176" s="39" t="s">
        <v>204</v>
      </c>
      <c r="D176" s="39" t="s">
        <v>121</v>
      </c>
      <c r="E176" s="39" t="s">
        <v>529</v>
      </c>
      <c r="F176" s="111"/>
      <c r="G176" s="18">
        <f>G177</f>
        <v>179.51</v>
      </c>
      <c r="H176" s="18">
        <f t="shared" ref="H176:I176" si="62">H177</f>
        <v>0</v>
      </c>
      <c r="I176" s="18">
        <f t="shared" si="62"/>
        <v>0</v>
      </c>
    </row>
    <row r="177" spans="1:10" ht="45" x14ac:dyDescent="0.25">
      <c r="A177" s="22">
        <v>160</v>
      </c>
      <c r="B177" s="81" t="s">
        <v>17</v>
      </c>
      <c r="C177" s="39" t="s">
        <v>204</v>
      </c>
      <c r="D177" s="39" t="s">
        <v>121</v>
      </c>
      <c r="E177" s="39" t="s">
        <v>529</v>
      </c>
      <c r="F177" s="111">
        <v>100</v>
      </c>
      <c r="G177" s="18">
        <f>G178</f>
        <v>179.51</v>
      </c>
      <c r="H177" s="18">
        <f>H178</f>
        <v>0</v>
      </c>
      <c r="I177" s="18">
        <f>I178</f>
        <v>0</v>
      </c>
    </row>
    <row r="178" spans="1:10" x14ac:dyDescent="0.25">
      <c r="A178" s="48">
        <v>161</v>
      </c>
      <c r="B178" s="81" t="s">
        <v>18</v>
      </c>
      <c r="C178" s="39" t="s">
        <v>204</v>
      </c>
      <c r="D178" s="39" t="s">
        <v>121</v>
      </c>
      <c r="E178" s="39" t="s">
        <v>529</v>
      </c>
      <c r="F178" s="111">
        <v>120</v>
      </c>
      <c r="G178" s="18">
        <v>179.51</v>
      </c>
      <c r="H178" s="18">
        <v>0</v>
      </c>
      <c r="I178" s="18">
        <v>0</v>
      </c>
    </row>
    <row r="179" spans="1:10" ht="60" x14ac:dyDescent="0.25">
      <c r="A179" s="22">
        <v>162</v>
      </c>
      <c r="B179" s="118" t="s">
        <v>556</v>
      </c>
      <c r="C179" s="39" t="s">
        <v>204</v>
      </c>
      <c r="D179" s="39" t="s">
        <v>121</v>
      </c>
      <c r="E179" s="128">
        <v>8510010380</v>
      </c>
      <c r="F179" s="128"/>
      <c r="G179" s="18">
        <f>G180</f>
        <v>265.23</v>
      </c>
      <c r="H179" s="18">
        <f t="shared" ref="H179:I180" si="63">H180</f>
        <v>0</v>
      </c>
      <c r="I179" s="18">
        <f t="shared" si="63"/>
        <v>0</v>
      </c>
    </row>
    <row r="180" spans="1:10" ht="45" x14ac:dyDescent="0.25">
      <c r="A180" s="48">
        <v>163</v>
      </c>
      <c r="B180" s="129" t="s">
        <v>177</v>
      </c>
      <c r="C180" s="39" t="s">
        <v>204</v>
      </c>
      <c r="D180" s="39" t="s">
        <v>121</v>
      </c>
      <c r="E180" s="128">
        <v>8510010380</v>
      </c>
      <c r="F180" s="128">
        <v>100</v>
      </c>
      <c r="G180" s="18">
        <f>G181</f>
        <v>265.23</v>
      </c>
      <c r="H180" s="18">
        <f t="shared" si="63"/>
        <v>0</v>
      </c>
      <c r="I180" s="18">
        <f t="shared" si="63"/>
        <v>0</v>
      </c>
    </row>
    <row r="181" spans="1:10" x14ac:dyDescent="0.25">
      <c r="A181" s="22">
        <v>164</v>
      </c>
      <c r="B181" s="24" t="s">
        <v>18</v>
      </c>
      <c r="C181" s="39" t="s">
        <v>204</v>
      </c>
      <c r="D181" s="39" t="s">
        <v>121</v>
      </c>
      <c r="E181" s="128">
        <v>8510010380</v>
      </c>
      <c r="F181" s="128">
        <v>120</v>
      </c>
      <c r="G181" s="18">
        <v>265.23</v>
      </c>
      <c r="H181" s="18">
        <v>0</v>
      </c>
      <c r="I181" s="18">
        <v>0</v>
      </c>
      <c r="J181" s="73">
        <v>265.23</v>
      </c>
    </row>
    <row r="182" spans="1:10" x14ac:dyDescent="0.25">
      <c r="A182" s="48">
        <v>165</v>
      </c>
      <c r="B182" s="57" t="s">
        <v>212</v>
      </c>
      <c r="C182" s="39" t="s">
        <v>204</v>
      </c>
      <c r="D182" s="39" t="s">
        <v>219</v>
      </c>
      <c r="E182" s="111"/>
      <c r="F182" s="111"/>
      <c r="G182" s="18">
        <f>G183</f>
        <v>4.8</v>
      </c>
      <c r="H182" s="18">
        <f t="shared" ref="H182:I182" si="64">H183</f>
        <v>5</v>
      </c>
      <c r="I182" s="18">
        <f t="shared" si="64"/>
        <v>5.3</v>
      </c>
    </row>
    <row r="183" spans="1:10" x14ac:dyDescent="0.25">
      <c r="A183" s="22">
        <v>166</v>
      </c>
      <c r="B183" s="80" t="s">
        <v>343</v>
      </c>
      <c r="C183" s="39" t="s">
        <v>204</v>
      </c>
      <c r="D183" s="39" t="s">
        <v>219</v>
      </c>
      <c r="E183" s="111">
        <v>8500000000</v>
      </c>
      <c r="F183" s="111"/>
      <c r="G183" s="18">
        <f>G185</f>
        <v>4.8</v>
      </c>
      <c r="H183" s="18">
        <f>H185</f>
        <v>5</v>
      </c>
      <c r="I183" s="18">
        <f>I185</f>
        <v>5.3</v>
      </c>
    </row>
    <row r="184" spans="1:10" x14ac:dyDescent="0.25">
      <c r="A184" s="48">
        <v>167</v>
      </c>
      <c r="B184" s="80" t="s">
        <v>344</v>
      </c>
      <c r="C184" s="39" t="s">
        <v>204</v>
      </c>
      <c r="D184" s="39" t="s">
        <v>219</v>
      </c>
      <c r="E184" s="111">
        <v>8510000000</v>
      </c>
      <c r="F184" s="111"/>
      <c r="G184" s="18">
        <f>G185</f>
        <v>4.8</v>
      </c>
      <c r="H184" s="18">
        <f t="shared" ref="H184:I184" si="65">H185</f>
        <v>5</v>
      </c>
      <c r="I184" s="18">
        <f t="shared" si="65"/>
        <v>5.3</v>
      </c>
    </row>
    <row r="185" spans="1:10" ht="60" x14ac:dyDescent="0.25">
      <c r="A185" s="22">
        <v>168</v>
      </c>
      <c r="B185" s="81" t="s">
        <v>213</v>
      </c>
      <c r="C185" s="39" t="s">
        <v>204</v>
      </c>
      <c r="D185" s="39" t="s">
        <v>219</v>
      </c>
      <c r="E185" s="111">
        <v>8510051200</v>
      </c>
      <c r="F185" s="111"/>
      <c r="G185" s="18">
        <f>G186</f>
        <v>4.8</v>
      </c>
      <c r="H185" s="18">
        <f t="shared" ref="H185:I185" si="66">H186</f>
        <v>5</v>
      </c>
      <c r="I185" s="18">
        <f t="shared" si="66"/>
        <v>5.3</v>
      </c>
    </row>
    <row r="186" spans="1:10" x14ac:dyDescent="0.25">
      <c r="A186" s="48">
        <v>169</v>
      </c>
      <c r="B186" s="81" t="s">
        <v>23</v>
      </c>
      <c r="C186" s="39" t="s">
        <v>204</v>
      </c>
      <c r="D186" s="39" t="s">
        <v>219</v>
      </c>
      <c r="E186" s="111">
        <v>8510051200</v>
      </c>
      <c r="F186" s="111">
        <v>200</v>
      </c>
      <c r="G186" s="18">
        <f>G187</f>
        <v>4.8</v>
      </c>
      <c r="H186" s="18">
        <f t="shared" ref="H186:I186" si="67">H187</f>
        <v>5</v>
      </c>
      <c r="I186" s="18">
        <f t="shared" si="67"/>
        <v>5.3</v>
      </c>
    </row>
    <row r="187" spans="1:10" x14ac:dyDescent="0.25">
      <c r="A187" s="22">
        <v>170</v>
      </c>
      <c r="B187" s="81" t="s">
        <v>24</v>
      </c>
      <c r="C187" s="39" t="s">
        <v>204</v>
      </c>
      <c r="D187" s="39" t="s">
        <v>219</v>
      </c>
      <c r="E187" s="111">
        <v>8510051200</v>
      </c>
      <c r="F187" s="111">
        <v>240</v>
      </c>
      <c r="G187" s="18">
        <f>1.8+3</f>
        <v>4.8</v>
      </c>
      <c r="H187" s="18">
        <f>2.9+2.1</f>
        <v>5</v>
      </c>
      <c r="I187" s="18">
        <v>5.3</v>
      </c>
    </row>
    <row r="188" spans="1:10" x14ac:dyDescent="0.25">
      <c r="A188" s="48">
        <v>171</v>
      </c>
      <c r="B188" s="57" t="s">
        <v>37</v>
      </c>
      <c r="C188" s="39" t="s">
        <v>204</v>
      </c>
      <c r="D188" s="39" t="s">
        <v>123</v>
      </c>
      <c r="E188" s="111"/>
      <c r="F188" s="111"/>
      <c r="G188" s="18">
        <f>G189</f>
        <v>150</v>
      </c>
      <c r="H188" s="18">
        <f t="shared" ref="H188:I191" si="68">H189</f>
        <v>150</v>
      </c>
      <c r="I188" s="18">
        <f t="shared" si="68"/>
        <v>150</v>
      </c>
    </row>
    <row r="189" spans="1:10" x14ac:dyDescent="0.25">
      <c r="A189" s="22">
        <v>172</v>
      </c>
      <c r="B189" s="80" t="s">
        <v>343</v>
      </c>
      <c r="C189" s="39" t="s">
        <v>204</v>
      </c>
      <c r="D189" s="39" t="s">
        <v>123</v>
      </c>
      <c r="E189" s="111">
        <v>8500000000</v>
      </c>
      <c r="F189" s="111"/>
      <c r="G189" s="18">
        <f>G191</f>
        <v>150</v>
      </c>
      <c r="H189" s="18">
        <f>H191</f>
        <v>150</v>
      </c>
      <c r="I189" s="18">
        <f>I191</f>
        <v>150</v>
      </c>
    </row>
    <row r="190" spans="1:10" x14ac:dyDescent="0.25">
      <c r="A190" s="48">
        <v>173</v>
      </c>
      <c r="B190" s="80" t="s">
        <v>344</v>
      </c>
      <c r="C190" s="39" t="s">
        <v>204</v>
      </c>
      <c r="D190" s="39" t="s">
        <v>123</v>
      </c>
      <c r="E190" s="111">
        <v>8510000000</v>
      </c>
      <c r="F190" s="111"/>
      <c r="G190" s="18">
        <f>G191</f>
        <v>150</v>
      </c>
      <c r="H190" s="18">
        <f t="shared" ref="H190:I190" si="69">H191</f>
        <v>150</v>
      </c>
      <c r="I190" s="18">
        <f t="shared" si="69"/>
        <v>150</v>
      </c>
    </row>
    <row r="191" spans="1:10" x14ac:dyDescent="0.25">
      <c r="A191" s="22">
        <v>174</v>
      </c>
      <c r="B191" s="19" t="s">
        <v>40</v>
      </c>
      <c r="C191" s="39" t="s">
        <v>204</v>
      </c>
      <c r="D191" s="39" t="s">
        <v>123</v>
      </c>
      <c r="E191" s="111">
        <v>8510010110</v>
      </c>
      <c r="F191" s="111"/>
      <c r="G191" s="18">
        <f>G192</f>
        <v>150</v>
      </c>
      <c r="H191" s="18">
        <f t="shared" si="68"/>
        <v>150</v>
      </c>
      <c r="I191" s="18">
        <f t="shared" si="68"/>
        <v>150</v>
      </c>
    </row>
    <row r="192" spans="1:10" x14ac:dyDescent="0.25">
      <c r="A192" s="48">
        <v>175</v>
      </c>
      <c r="B192" s="81" t="s">
        <v>38</v>
      </c>
      <c r="C192" s="39" t="s">
        <v>204</v>
      </c>
      <c r="D192" s="39" t="s">
        <v>123</v>
      </c>
      <c r="E192" s="111">
        <v>8510010110</v>
      </c>
      <c r="F192" s="111">
        <v>800</v>
      </c>
      <c r="G192" s="18">
        <f>G193</f>
        <v>150</v>
      </c>
      <c r="H192" s="18">
        <f t="shared" ref="H192:I192" si="70">H193</f>
        <v>150</v>
      </c>
      <c r="I192" s="18">
        <f t="shared" si="70"/>
        <v>150</v>
      </c>
    </row>
    <row r="193" spans="1:9" x14ac:dyDescent="0.25">
      <c r="A193" s="22">
        <v>176</v>
      </c>
      <c r="B193" s="81" t="s">
        <v>39</v>
      </c>
      <c r="C193" s="39" t="s">
        <v>204</v>
      </c>
      <c r="D193" s="39" t="s">
        <v>123</v>
      </c>
      <c r="E193" s="111">
        <v>8510010110</v>
      </c>
      <c r="F193" s="111">
        <v>870</v>
      </c>
      <c r="G193" s="18">
        <v>150</v>
      </c>
      <c r="H193" s="18">
        <v>150</v>
      </c>
      <c r="I193" s="18">
        <v>150</v>
      </c>
    </row>
    <row r="194" spans="1:9" x14ac:dyDescent="0.25">
      <c r="A194" s="48">
        <v>177</v>
      </c>
      <c r="B194" s="57" t="s">
        <v>41</v>
      </c>
      <c r="C194" s="39" t="s">
        <v>204</v>
      </c>
      <c r="D194" s="39" t="s">
        <v>124</v>
      </c>
      <c r="E194" s="111"/>
      <c r="F194" s="111"/>
      <c r="G194" s="18">
        <f>G195+G219</f>
        <v>22806.36</v>
      </c>
      <c r="H194" s="18">
        <f t="shared" ref="H194:I194" si="71">H195+H219</f>
        <v>1831.22</v>
      </c>
      <c r="I194" s="18">
        <f t="shared" si="71"/>
        <v>2561.2200000000003</v>
      </c>
    </row>
    <row r="195" spans="1:9" x14ac:dyDescent="0.25">
      <c r="A195" s="22">
        <v>178</v>
      </c>
      <c r="B195" s="80" t="s">
        <v>343</v>
      </c>
      <c r="C195" s="39" t="s">
        <v>204</v>
      </c>
      <c r="D195" s="39" t="s">
        <v>124</v>
      </c>
      <c r="E195" s="111">
        <v>8500000000</v>
      </c>
      <c r="F195" s="111"/>
      <c r="G195" s="18">
        <f>G196</f>
        <v>2168.7600000000002</v>
      </c>
      <c r="H195" s="18">
        <f t="shared" ref="H195:I195" si="72">H196</f>
        <v>1199.92</v>
      </c>
      <c r="I195" s="18">
        <f t="shared" si="72"/>
        <v>1929.92</v>
      </c>
    </row>
    <row r="196" spans="1:9" x14ac:dyDescent="0.25">
      <c r="A196" s="48">
        <v>179</v>
      </c>
      <c r="B196" s="80" t="s">
        <v>344</v>
      </c>
      <c r="C196" s="39" t="s">
        <v>204</v>
      </c>
      <c r="D196" s="39" t="s">
        <v>124</v>
      </c>
      <c r="E196" s="111">
        <v>8510000000</v>
      </c>
      <c r="F196" s="111"/>
      <c r="G196" s="18">
        <f>G197+G202+G207+G210+G213+G216</f>
        <v>2168.7600000000002</v>
      </c>
      <c r="H196" s="18">
        <f t="shared" ref="H196:I196" si="73">H197+H202+H207+H210+H213+H216</f>
        <v>1199.92</v>
      </c>
      <c r="I196" s="18">
        <f t="shared" si="73"/>
        <v>1929.92</v>
      </c>
    </row>
    <row r="197" spans="1:9" ht="45" x14ac:dyDescent="0.25">
      <c r="A197" s="22">
        <v>180</v>
      </c>
      <c r="B197" s="24" t="s">
        <v>42</v>
      </c>
      <c r="C197" s="39" t="s">
        <v>204</v>
      </c>
      <c r="D197" s="39" t="s">
        <v>124</v>
      </c>
      <c r="E197" s="111">
        <v>8510074290</v>
      </c>
      <c r="F197" s="111"/>
      <c r="G197" s="18">
        <f>G198+G200</f>
        <v>43.3</v>
      </c>
      <c r="H197" s="18">
        <f>H198+H200</f>
        <v>42.9</v>
      </c>
      <c r="I197" s="18">
        <f>I198+I200</f>
        <v>42.9</v>
      </c>
    </row>
    <row r="198" spans="1:9" ht="45" x14ac:dyDescent="0.25">
      <c r="A198" s="48">
        <v>181</v>
      </c>
      <c r="B198" s="81" t="s">
        <v>17</v>
      </c>
      <c r="C198" s="39" t="s">
        <v>204</v>
      </c>
      <c r="D198" s="39" t="s">
        <v>124</v>
      </c>
      <c r="E198" s="111">
        <v>8510074290</v>
      </c>
      <c r="F198" s="111">
        <v>100</v>
      </c>
      <c r="G198" s="18">
        <f>G199</f>
        <v>41.379999999999995</v>
      </c>
      <c r="H198" s="18">
        <f t="shared" ref="H198:I198" si="74">H199</f>
        <v>40.98</v>
      </c>
      <c r="I198" s="18">
        <f t="shared" si="74"/>
        <v>40.98</v>
      </c>
    </row>
    <row r="199" spans="1:9" x14ac:dyDescent="0.25">
      <c r="A199" s="22">
        <v>182</v>
      </c>
      <c r="B199" s="81" t="s">
        <v>18</v>
      </c>
      <c r="C199" s="39" t="s">
        <v>204</v>
      </c>
      <c r="D199" s="39" t="s">
        <v>124</v>
      </c>
      <c r="E199" s="111">
        <v>8510074290</v>
      </c>
      <c r="F199" s="111">
        <v>120</v>
      </c>
      <c r="G199" s="18">
        <f>40.98+0.4</f>
        <v>41.379999999999995</v>
      </c>
      <c r="H199" s="18">
        <v>40.98</v>
      </c>
      <c r="I199" s="18">
        <v>40.98</v>
      </c>
    </row>
    <row r="200" spans="1:9" x14ac:dyDescent="0.25">
      <c r="A200" s="48">
        <v>183</v>
      </c>
      <c r="B200" s="81" t="s">
        <v>23</v>
      </c>
      <c r="C200" s="39" t="s">
        <v>204</v>
      </c>
      <c r="D200" s="39" t="s">
        <v>124</v>
      </c>
      <c r="E200" s="111">
        <v>8510074290</v>
      </c>
      <c r="F200" s="111">
        <v>200</v>
      </c>
      <c r="G200" s="18">
        <f>G201</f>
        <v>1.92</v>
      </c>
      <c r="H200" s="18">
        <f t="shared" ref="H200:I200" si="75">H201</f>
        <v>1.92</v>
      </c>
      <c r="I200" s="18">
        <f t="shared" si="75"/>
        <v>1.92</v>
      </c>
    </row>
    <row r="201" spans="1:9" x14ac:dyDescent="0.25">
      <c r="A201" s="22">
        <v>184</v>
      </c>
      <c r="B201" s="81" t="s">
        <v>24</v>
      </c>
      <c r="C201" s="39" t="s">
        <v>204</v>
      </c>
      <c r="D201" s="39" t="s">
        <v>124</v>
      </c>
      <c r="E201" s="111">
        <v>8510074290</v>
      </c>
      <c r="F201" s="111">
        <v>240</v>
      </c>
      <c r="G201" s="18">
        <v>1.92</v>
      </c>
      <c r="H201" s="18">
        <v>1.92</v>
      </c>
      <c r="I201" s="18">
        <v>1.92</v>
      </c>
    </row>
    <row r="202" spans="1:9" ht="30" x14ac:dyDescent="0.25">
      <c r="A202" s="48">
        <v>185</v>
      </c>
      <c r="B202" s="112" t="s">
        <v>36</v>
      </c>
      <c r="C202" s="39" t="s">
        <v>204</v>
      </c>
      <c r="D202" s="39" t="s">
        <v>124</v>
      </c>
      <c r="E202" s="111">
        <v>8510076040</v>
      </c>
      <c r="F202" s="111"/>
      <c r="G202" s="18">
        <f>G203+G205</f>
        <v>647.19999999999993</v>
      </c>
      <c r="H202" s="18">
        <f>H203+H205</f>
        <v>640.9</v>
      </c>
      <c r="I202" s="18">
        <f>I203+I205</f>
        <v>640.9</v>
      </c>
    </row>
    <row r="203" spans="1:9" ht="45" x14ac:dyDescent="0.25">
      <c r="A203" s="22">
        <v>186</v>
      </c>
      <c r="B203" s="81" t="s">
        <v>17</v>
      </c>
      <c r="C203" s="39" t="s">
        <v>204</v>
      </c>
      <c r="D203" s="39" t="s">
        <v>124</v>
      </c>
      <c r="E203" s="111">
        <v>8510076040</v>
      </c>
      <c r="F203" s="111">
        <v>100</v>
      </c>
      <c r="G203" s="18">
        <f>G204</f>
        <v>591.70999999999992</v>
      </c>
      <c r="H203" s="18">
        <f t="shared" ref="H203:I203" si="76">H204</f>
        <v>585.41</v>
      </c>
      <c r="I203" s="18">
        <f t="shared" si="76"/>
        <v>585.41</v>
      </c>
    </row>
    <row r="204" spans="1:9" x14ac:dyDescent="0.25">
      <c r="A204" s="48">
        <v>187</v>
      </c>
      <c r="B204" s="81" t="s">
        <v>18</v>
      </c>
      <c r="C204" s="39" t="s">
        <v>204</v>
      </c>
      <c r="D204" s="39" t="s">
        <v>124</v>
      </c>
      <c r="E204" s="111">
        <v>8510076040</v>
      </c>
      <c r="F204" s="111">
        <v>120</v>
      </c>
      <c r="G204" s="18">
        <f>585.41+6.3</f>
        <v>591.70999999999992</v>
      </c>
      <c r="H204" s="18">
        <v>585.41</v>
      </c>
      <c r="I204" s="18">
        <v>585.41</v>
      </c>
    </row>
    <row r="205" spans="1:9" x14ac:dyDescent="0.25">
      <c r="A205" s="22">
        <v>188</v>
      </c>
      <c r="B205" s="81" t="s">
        <v>23</v>
      </c>
      <c r="C205" s="39" t="s">
        <v>204</v>
      </c>
      <c r="D205" s="39" t="s">
        <v>124</v>
      </c>
      <c r="E205" s="111">
        <v>8510076040</v>
      </c>
      <c r="F205" s="111">
        <v>200</v>
      </c>
      <c r="G205" s="18">
        <f>G206</f>
        <v>55.49</v>
      </c>
      <c r="H205" s="18">
        <f t="shared" ref="H205:I205" si="77">H206</f>
        <v>55.49</v>
      </c>
      <c r="I205" s="18">
        <f t="shared" si="77"/>
        <v>55.49</v>
      </c>
    </row>
    <row r="206" spans="1:9" x14ac:dyDescent="0.25">
      <c r="A206" s="48">
        <v>189</v>
      </c>
      <c r="B206" s="81" t="s">
        <v>24</v>
      </c>
      <c r="C206" s="39" t="s">
        <v>204</v>
      </c>
      <c r="D206" s="39" t="s">
        <v>124</v>
      </c>
      <c r="E206" s="111">
        <v>8510076040</v>
      </c>
      <c r="F206" s="111">
        <v>240</v>
      </c>
      <c r="G206" s="18">
        <v>55.49</v>
      </c>
      <c r="H206" s="18">
        <v>55.49</v>
      </c>
      <c r="I206" s="18">
        <v>55.49</v>
      </c>
    </row>
    <row r="207" spans="1:9" ht="45" x14ac:dyDescent="0.25">
      <c r="A207" s="22">
        <v>190</v>
      </c>
      <c r="B207" s="112" t="s">
        <v>43</v>
      </c>
      <c r="C207" s="39" t="s">
        <v>204</v>
      </c>
      <c r="D207" s="39" t="s">
        <v>124</v>
      </c>
      <c r="E207" s="111">
        <v>8510092020</v>
      </c>
      <c r="F207" s="111"/>
      <c r="G207" s="18">
        <f>G208</f>
        <v>1250</v>
      </c>
      <c r="H207" s="18">
        <f t="shared" ref="H207:I207" si="78">H208</f>
        <v>270</v>
      </c>
      <c r="I207" s="18">
        <f t="shared" si="78"/>
        <v>1000</v>
      </c>
    </row>
    <row r="208" spans="1:9" x14ac:dyDescent="0.25">
      <c r="A208" s="48">
        <v>191</v>
      </c>
      <c r="B208" s="81" t="s">
        <v>38</v>
      </c>
      <c r="C208" s="39" t="s">
        <v>204</v>
      </c>
      <c r="D208" s="39" t="s">
        <v>124</v>
      </c>
      <c r="E208" s="111">
        <v>8510092020</v>
      </c>
      <c r="F208" s="111">
        <v>800</v>
      </c>
      <c r="G208" s="18">
        <f>G209</f>
        <v>1250</v>
      </c>
      <c r="H208" s="18">
        <f t="shared" ref="H208:I208" si="79">H209</f>
        <v>270</v>
      </c>
      <c r="I208" s="18">
        <f t="shared" si="79"/>
        <v>1000</v>
      </c>
    </row>
    <row r="209" spans="1:9" x14ac:dyDescent="0.25">
      <c r="A209" s="22">
        <v>192</v>
      </c>
      <c r="B209" s="20" t="s">
        <v>44</v>
      </c>
      <c r="C209" s="39" t="s">
        <v>204</v>
      </c>
      <c r="D209" s="39" t="s">
        <v>124</v>
      </c>
      <c r="E209" s="111">
        <v>8510092020</v>
      </c>
      <c r="F209" s="111">
        <v>830</v>
      </c>
      <c r="G209" s="18">
        <f>1000+250</f>
        <v>1250</v>
      </c>
      <c r="H209" s="18">
        <f>1000-730</f>
        <v>270</v>
      </c>
      <c r="I209" s="18">
        <v>1000</v>
      </c>
    </row>
    <row r="210" spans="1:9" ht="30" x14ac:dyDescent="0.25">
      <c r="A210" s="48">
        <v>193</v>
      </c>
      <c r="B210" s="112" t="s">
        <v>45</v>
      </c>
      <c r="C210" s="29" t="s">
        <v>204</v>
      </c>
      <c r="D210" s="39" t="s">
        <v>124</v>
      </c>
      <c r="E210" s="111">
        <v>8510075550</v>
      </c>
      <c r="F210" s="111"/>
      <c r="G210" s="18">
        <f>G211</f>
        <v>187.4</v>
      </c>
      <c r="H210" s="18">
        <f t="shared" ref="H210:I211" si="80">H211</f>
        <v>187.4</v>
      </c>
      <c r="I210" s="18">
        <f t="shared" si="80"/>
        <v>187.4</v>
      </c>
    </row>
    <row r="211" spans="1:9" x14ac:dyDescent="0.25">
      <c r="A211" s="22">
        <v>194</v>
      </c>
      <c r="B211" s="81" t="s">
        <v>23</v>
      </c>
      <c r="C211" s="29" t="s">
        <v>204</v>
      </c>
      <c r="D211" s="39" t="s">
        <v>124</v>
      </c>
      <c r="E211" s="111">
        <v>8510075550</v>
      </c>
      <c r="F211" s="111">
        <v>200</v>
      </c>
      <c r="G211" s="18">
        <f>G212</f>
        <v>187.4</v>
      </c>
      <c r="H211" s="18">
        <f t="shared" si="80"/>
        <v>187.4</v>
      </c>
      <c r="I211" s="18">
        <f t="shared" si="80"/>
        <v>187.4</v>
      </c>
    </row>
    <row r="212" spans="1:9" x14ac:dyDescent="0.25">
      <c r="A212" s="48">
        <v>195</v>
      </c>
      <c r="B212" s="81" t="s">
        <v>24</v>
      </c>
      <c r="C212" s="29" t="s">
        <v>204</v>
      </c>
      <c r="D212" s="39" t="s">
        <v>124</v>
      </c>
      <c r="E212" s="111">
        <v>8510075550</v>
      </c>
      <c r="F212" s="111">
        <v>240</v>
      </c>
      <c r="G212" s="18">
        <v>187.4</v>
      </c>
      <c r="H212" s="18">
        <v>187.4</v>
      </c>
      <c r="I212" s="18">
        <v>187.4</v>
      </c>
    </row>
    <row r="213" spans="1:9" ht="30" x14ac:dyDescent="0.25">
      <c r="A213" s="22">
        <v>196</v>
      </c>
      <c r="B213" s="112" t="s">
        <v>323</v>
      </c>
      <c r="C213" s="29" t="s">
        <v>204</v>
      </c>
      <c r="D213" s="39" t="s">
        <v>124</v>
      </c>
      <c r="E213" s="111" t="s">
        <v>352</v>
      </c>
      <c r="F213" s="111"/>
      <c r="G213" s="18">
        <f>G214</f>
        <v>23</v>
      </c>
      <c r="H213" s="18">
        <f t="shared" ref="H213:I214" si="81">H214</f>
        <v>23</v>
      </c>
      <c r="I213" s="18">
        <f t="shared" si="81"/>
        <v>23</v>
      </c>
    </row>
    <row r="214" spans="1:9" x14ac:dyDescent="0.25">
      <c r="A214" s="48">
        <v>197</v>
      </c>
      <c r="B214" s="81" t="s">
        <v>23</v>
      </c>
      <c r="C214" s="29" t="s">
        <v>204</v>
      </c>
      <c r="D214" s="39" t="s">
        <v>124</v>
      </c>
      <c r="E214" s="111" t="s">
        <v>352</v>
      </c>
      <c r="F214" s="111">
        <v>200</v>
      </c>
      <c r="G214" s="18">
        <f>G215</f>
        <v>23</v>
      </c>
      <c r="H214" s="18">
        <f t="shared" si="81"/>
        <v>23</v>
      </c>
      <c r="I214" s="18">
        <f t="shared" si="81"/>
        <v>23</v>
      </c>
    </row>
    <row r="215" spans="1:9" x14ac:dyDescent="0.25">
      <c r="A215" s="22">
        <v>198</v>
      </c>
      <c r="B215" s="81" t="s">
        <v>24</v>
      </c>
      <c r="C215" s="29" t="s">
        <v>204</v>
      </c>
      <c r="D215" s="39" t="s">
        <v>124</v>
      </c>
      <c r="E215" s="111" t="s">
        <v>352</v>
      </c>
      <c r="F215" s="111">
        <v>240</v>
      </c>
      <c r="G215" s="18">
        <v>23</v>
      </c>
      <c r="H215" s="18">
        <v>23</v>
      </c>
      <c r="I215" s="18">
        <v>23</v>
      </c>
    </row>
    <row r="216" spans="1:9" x14ac:dyDescent="0.25">
      <c r="A216" s="48">
        <v>199</v>
      </c>
      <c r="B216" s="80" t="s">
        <v>560</v>
      </c>
      <c r="C216" s="29" t="s">
        <v>204</v>
      </c>
      <c r="D216" s="39" t="s">
        <v>124</v>
      </c>
      <c r="E216" s="111">
        <v>8510084570</v>
      </c>
      <c r="F216" s="111"/>
      <c r="G216" s="18">
        <f>G217</f>
        <v>17.86</v>
      </c>
      <c r="H216" s="18">
        <f t="shared" ref="H216:I217" si="82">H217</f>
        <v>35.72</v>
      </c>
      <c r="I216" s="18">
        <f t="shared" si="82"/>
        <v>35.72</v>
      </c>
    </row>
    <row r="217" spans="1:9" x14ac:dyDescent="0.25">
      <c r="A217" s="22">
        <v>200</v>
      </c>
      <c r="B217" s="81" t="s">
        <v>23</v>
      </c>
      <c r="C217" s="29" t="s">
        <v>204</v>
      </c>
      <c r="D217" s="39" t="s">
        <v>124</v>
      </c>
      <c r="E217" s="111">
        <v>8510084570</v>
      </c>
      <c r="F217" s="111">
        <v>200</v>
      </c>
      <c r="G217" s="18">
        <f>G218</f>
        <v>17.86</v>
      </c>
      <c r="H217" s="18">
        <f t="shared" si="82"/>
        <v>35.72</v>
      </c>
      <c r="I217" s="18">
        <f t="shared" si="82"/>
        <v>35.72</v>
      </c>
    </row>
    <row r="218" spans="1:9" x14ac:dyDescent="0.25">
      <c r="A218" s="48">
        <v>201</v>
      </c>
      <c r="B218" s="81" t="s">
        <v>24</v>
      </c>
      <c r="C218" s="29" t="s">
        <v>204</v>
      </c>
      <c r="D218" s="39" t="s">
        <v>124</v>
      </c>
      <c r="E218" s="111">
        <v>8510084570</v>
      </c>
      <c r="F218" s="111">
        <v>240</v>
      </c>
      <c r="G218" s="18">
        <v>17.86</v>
      </c>
      <c r="H218" s="18">
        <v>35.72</v>
      </c>
      <c r="I218" s="18">
        <v>35.72</v>
      </c>
    </row>
    <row r="219" spans="1:9" ht="30" x14ac:dyDescent="0.25">
      <c r="A219" s="22">
        <v>202</v>
      </c>
      <c r="B219" s="117" t="s">
        <v>353</v>
      </c>
      <c r="C219" s="39" t="s">
        <v>204</v>
      </c>
      <c r="D219" s="39" t="s">
        <v>124</v>
      </c>
      <c r="E219" s="111">
        <v>1100000000</v>
      </c>
      <c r="F219" s="111"/>
      <c r="G219" s="18">
        <f>G220+G224</f>
        <v>20637.599999999999</v>
      </c>
      <c r="H219" s="18">
        <f t="shared" ref="H219:I219" si="83">H220+H224</f>
        <v>631.29999999999995</v>
      </c>
      <c r="I219" s="18">
        <f t="shared" si="83"/>
        <v>631.29999999999995</v>
      </c>
    </row>
    <row r="220" spans="1:9" ht="45" x14ac:dyDescent="0.25">
      <c r="A220" s="48">
        <v>203</v>
      </c>
      <c r="B220" s="25" t="s">
        <v>173</v>
      </c>
      <c r="C220" s="39" t="s">
        <v>204</v>
      </c>
      <c r="D220" s="39" t="s">
        <v>124</v>
      </c>
      <c r="E220" s="22">
        <v>1140000000</v>
      </c>
      <c r="F220" s="22"/>
      <c r="G220" s="18">
        <f>G221</f>
        <v>20000</v>
      </c>
      <c r="H220" s="18">
        <f t="shared" ref="H220:I221" si="84">H221</f>
        <v>0</v>
      </c>
      <c r="I220" s="18">
        <f t="shared" si="84"/>
        <v>0</v>
      </c>
    </row>
    <row r="221" spans="1:9" x14ac:dyDescent="0.25">
      <c r="A221" s="22">
        <v>204</v>
      </c>
      <c r="B221" s="25" t="s">
        <v>217</v>
      </c>
      <c r="C221" s="39" t="s">
        <v>204</v>
      </c>
      <c r="D221" s="39" t="s">
        <v>124</v>
      </c>
      <c r="E221" s="22">
        <v>1140082120</v>
      </c>
      <c r="F221" s="22"/>
      <c r="G221" s="18">
        <f>G222</f>
        <v>20000</v>
      </c>
      <c r="H221" s="18">
        <f t="shared" si="84"/>
        <v>0</v>
      </c>
      <c r="I221" s="18">
        <f t="shared" si="84"/>
        <v>0</v>
      </c>
    </row>
    <row r="222" spans="1:9" x14ac:dyDescent="0.25">
      <c r="A222" s="48">
        <v>205</v>
      </c>
      <c r="B222" s="112" t="s">
        <v>218</v>
      </c>
      <c r="C222" s="39" t="s">
        <v>204</v>
      </c>
      <c r="D222" s="39" t="s">
        <v>124</v>
      </c>
      <c r="E222" s="22">
        <v>1140082120</v>
      </c>
      <c r="F222" s="22">
        <v>400</v>
      </c>
      <c r="G222" s="18">
        <f>G223</f>
        <v>20000</v>
      </c>
      <c r="H222" s="18">
        <f t="shared" ref="H222:I222" si="85">H223</f>
        <v>0</v>
      </c>
      <c r="I222" s="18">
        <f t="shared" si="85"/>
        <v>0</v>
      </c>
    </row>
    <row r="223" spans="1:9" x14ac:dyDescent="0.25">
      <c r="A223" s="22">
        <v>206</v>
      </c>
      <c r="B223" s="26" t="s">
        <v>24</v>
      </c>
      <c r="C223" s="39" t="s">
        <v>204</v>
      </c>
      <c r="D223" s="39" t="s">
        <v>124</v>
      </c>
      <c r="E223" s="22">
        <v>1140082120</v>
      </c>
      <c r="F223" s="22">
        <v>410</v>
      </c>
      <c r="G223" s="18">
        <v>20000</v>
      </c>
      <c r="H223" s="18">
        <v>0</v>
      </c>
      <c r="I223" s="18">
        <v>0</v>
      </c>
    </row>
    <row r="224" spans="1:9" x14ac:dyDescent="0.25">
      <c r="A224" s="48">
        <v>207</v>
      </c>
      <c r="B224" s="117" t="s">
        <v>46</v>
      </c>
      <c r="C224" s="39" t="s">
        <v>204</v>
      </c>
      <c r="D224" s="39" t="s">
        <v>124</v>
      </c>
      <c r="E224" s="111">
        <v>1190000000</v>
      </c>
      <c r="F224" s="111"/>
      <c r="G224" s="18">
        <f>G225</f>
        <v>637.59999999999991</v>
      </c>
      <c r="H224" s="18">
        <f t="shared" ref="H224:I224" si="86">H225</f>
        <v>631.29999999999995</v>
      </c>
      <c r="I224" s="18">
        <f t="shared" si="86"/>
        <v>631.29999999999995</v>
      </c>
    </row>
    <row r="225" spans="1:9" ht="30" x14ac:dyDescent="0.25">
      <c r="A225" s="22">
        <v>208</v>
      </c>
      <c r="B225" s="112" t="s">
        <v>354</v>
      </c>
      <c r="C225" s="39" t="s">
        <v>204</v>
      </c>
      <c r="D225" s="39" t="s">
        <v>124</v>
      </c>
      <c r="E225" s="111">
        <v>1190074670</v>
      </c>
      <c r="F225" s="111"/>
      <c r="G225" s="18">
        <f>G226+G228</f>
        <v>637.59999999999991</v>
      </c>
      <c r="H225" s="18">
        <f>H226+H228</f>
        <v>631.29999999999995</v>
      </c>
      <c r="I225" s="18">
        <f>I226+I228</f>
        <v>631.29999999999995</v>
      </c>
    </row>
    <row r="226" spans="1:9" ht="45" x14ac:dyDescent="0.25">
      <c r="A226" s="48">
        <v>209</v>
      </c>
      <c r="B226" s="81" t="s">
        <v>17</v>
      </c>
      <c r="C226" s="39" t="s">
        <v>204</v>
      </c>
      <c r="D226" s="39" t="s">
        <v>124</v>
      </c>
      <c r="E226" s="111">
        <v>1190074670</v>
      </c>
      <c r="F226" s="111">
        <v>100</v>
      </c>
      <c r="G226" s="18">
        <f>G227</f>
        <v>591.59999999999991</v>
      </c>
      <c r="H226" s="18">
        <f t="shared" ref="H226:I226" si="87">H227</f>
        <v>585.29999999999995</v>
      </c>
      <c r="I226" s="18">
        <f t="shared" si="87"/>
        <v>585.29999999999995</v>
      </c>
    </row>
    <row r="227" spans="1:9" x14ac:dyDescent="0.25">
      <c r="A227" s="22">
        <v>210</v>
      </c>
      <c r="B227" s="81" t="s">
        <v>18</v>
      </c>
      <c r="C227" s="39" t="s">
        <v>204</v>
      </c>
      <c r="D227" s="39" t="s">
        <v>124</v>
      </c>
      <c r="E227" s="111">
        <v>1190074670</v>
      </c>
      <c r="F227" s="111">
        <v>120</v>
      </c>
      <c r="G227" s="18">
        <f>585.3+6.3</f>
        <v>591.59999999999991</v>
      </c>
      <c r="H227" s="18">
        <v>585.29999999999995</v>
      </c>
      <c r="I227" s="18">
        <v>585.29999999999995</v>
      </c>
    </row>
    <row r="228" spans="1:9" x14ac:dyDescent="0.25">
      <c r="A228" s="48">
        <v>211</v>
      </c>
      <c r="B228" s="81" t="s">
        <v>23</v>
      </c>
      <c r="C228" s="39" t="s">
        <v>204</v>
      </c>
      <c r="D228" s="39" t="s">
        <v>124</v>
      </c>
      <c r="E228" s="111">
        <v>1190074670</v>
      </c>
      <c r="F228" s="111">
        <v>200</v>
      </c>
      <c r="G228" s="18">
        <f>G229</f>
        <v>46</v>
      </c>
      <c r="H228" s="18">
        <f t="shared" ref="H228:I228" si="88">H229</f>
        <v>46</v>
      </c>
      <c r="I228" s="18">
        <f t="shared" si="88"/>
        <v>46</v>
      </c>
    </row>
    <row r="229" spans="1:9" x14ac:dyDescent="0.25">
      <c r="A229" s="22">
        <v>212</v>
      </c>
      <c r="B229" s="81" t="s">
        <v>24</v>
      </c>
      <c r="C229" s="39" t="s">
        <v>204</v>
      </c>
      <c r="D229" s="39" t="s">
        <v>124</v>
      </c>
      <c r="E229" s="111">
        <v>1190074670</v>
      </c>
      <c r="F229" s="111">
        <v>240</v>
      </c>
      <c r="G229" s="18">
        <v>46</v>
      </c>
      <c r="H229" s="18">
        <v>46</v>
      </c>
      <c r="I229" s="18">
        <v>46</v>
      </c>
    </row>
    <row r="230" spans="1:9" x14ac:dyDescent="0.25">
      <c r="A230" s="48">
        <v>213</v>
      </c>
      <c r="B230" s="57" t="s">
        <v>131</v>
      </c>
      <c r="C230" s="39" t="s">
        <v>204</v>
      </c>
      <c r="D230" s="39" t="s">
        <v>132</v>
      </c>
      <c r="E230" s="111"/>
      <c r="F230" s="111"/>
      <c r="G230" s="18">
        <f>G231+G239+G267+G248+G261</f>
        <v>22626.57</v>
      </c>
      <c r="H230" s="18">
        <f>H231+H239+H267+H248</f>
        <v>15420.380000000001</v>
      </c>
      <c r="I230" s="18">
        <f>I231+I239+I267+I248</f>
        <v>15487.400000000001</v>
      </c>
    </row>
    <row r="231" spans="1:9" x14ac:dyDescent="0.25">
      <c r="A231" s="22">
        <v>214</v>
      </c>
      <c r="B231" s="117" t="s">
        <v>48</v>
      </c>
      <c r="C231" s="39" t="s">
        <v>204</v>
      </c>
      <c r="D231" s="39" t="s">
        <v>134</v>
      </c>
      <c r="E231" s="111"/>
      <c r="F231" s="111"/>
      <c r="G231" s="18">
        <f>G232</f>
        <v>675.70999999999992</v>
      </c>
      <c r="H231" s="18">
        <f t="shared" ref="H231:I231" si="89">H232</f>
        <v>669.4</v>
      </c>
      <c r="I231" s="18">
        <f t="shared" si="89"/>
        <v>669.4</v>
      </c>
    </row>
    <row r="232" spans="1:9" ht="30" x14ac:dyDescent="0.25">
      <c r="A232" s="48">
        <v>215</v>
      </c>
      <c r="B232" s="20" t="s">
        <v>207</v>
      </c>
      <c r="C232" s="39" t="s">
        <v>204</v>
      </c>
      <c r="D232" s="39" t="s">
        <v>134</v>
      </c>
      <c r="E232" s="111">
        <v>1200000000</v>
      </c>
      <c r="F232" s="111"/>
      <c r="G232" s="18">
        <f>G233</f>
        <v>675.70999999999992</v>
      </c>
      <c r="H232" s="18">
        <f t="shared" ref="H232:I232" si="90">H233</f>
        <v>669.4</v>
      </c>
      <c r="I232" s="18">
        <f t="shared" si="90"/>
        <v>669.4</v>
      </c>
    </row>
    <row r="233" spans="1:9" x14ac:dyDescent="0.25">
      <c r="A233" s="22">
        <v>216</v>
      </c>
      <c r="B233" s="20" t="s">
        <v>355</v>
      </c>
      <c r="C233" s="39" t="s">
        <v>204</v>
      </c>
      <c r="D233" s="39" t="s">
        <v>134</v>
      </c>
      <c r="E233" s="111">
        <v>1220000000</v>
      </c>
      <c r="F233" s="111"/>
      <c r="G233" s="18">
        <f>G234</f>
        <v>675.70999999999992</v>
      </c>
      <c r="H233" s="18">
        <f t="shared" ref="H233:I233" si="91">H234</f>
        <v>669.4</v>
      </c>
      <c r="I233" s="18">
        <f t="shared" si="91"/>
        <v>669.4</v>
      </c>
    </row>
    <row r="234" spans="1:9" ht="30" x14ac:dyDescent="0.25">
      <c r="A234" s="48">
        <v>217</v>
      </c>
      <c r="B234" s="114" t="s">
        <v>50</v>
      </c>
      <c r="C234" s="39" t="s">
        <v>204</v>
      </c>
      <c r="D234" s="39" t="s">
        <v>134</v>
      </c>
      <c r="E234" s="111">
        <v>1220075170</v>
      </c>
      <c r="F234" s="111"/>
      <c r="G234" s="18">
        <f>G235+G237</f>
        <v>675.70999999999992</v>
      </c>
      <c r="H234" s="18">
        <f t="shared" ref="H234:I234" si="92">H235+H237</f>
        <v>669.4</v>
      </c>
      <c r="I234" s="18">
        <f t="shared" si="92"/>
        <v>669.4</v>
      </c>
    </row>
    <row r="235" spans="1:9" ht="45" x14ac:dyDescent="0.25">
      <c r="A235" s="22">
        <v>218</v>
      </c>
      <c r="B235" s="81" t="s">
        <v>17</v>
      </c>
      <c r="C235" s="39" t="s">
        <v>204</v>
      </c>
      <c r="D235" s="39" t="s">
        <v>134</v>
      </c>
      <c r="E235" s="111">
        <v>1220075170</v>
      </c>
      <c r="F235" s="111">
        <v>100</v>
      </c>
      <c r="G235" s="18">
        <f>G236</f>
        <v>603.70999999999992</v>
      </c>
      <c r="H235" s="18">
        <f t="shared" ref="H235:I235" si="93">H236</f>
        <v>597.4</v>
      </c>
      <c r="I235" s="18">
        <f t="shared" si="93"/>
        <v>597.4</v>
      </c>
    </row>
    <row r="236" spans="1:9" x14ac:dyDescent="0.25">
      <c r="A236" s="48">
        <v>219</v>
      </c>
      <c r="B236" s="81" t="s">
        <v>18</v>
      </c>
      <c r="C236" s="39" t="s">
        <v>204</v>
      </c>
      <c r="D236" s="39" t="s">
        <v>134</v>
      </c>
      <c r="E236" s="111">
        <v>1220075170</v>
      </c>
      <c r="F236" s="111">
        <v>120</v>
      </c>
      <c r="G236" s="18">
        <f>597.4+6.31</f>
        <v>603.70999999999992</v>
      </c>
      <c r="H236" s="18">
        <v>597.4</v>
      </c>
      <c r="I236" s="18">
        <v>597.4</v>
      </c>
    </row>
    <row r="237" spans="1:9" x14ac:dyDescent="0.25">
      <c r="A237" s="22">
        <v>220</v>
      </c>
      <c r="B237" s="81" t="s">
        <v>23</v>
      </c>
      <c r="C237" s="39" t="s">
        <v>204</v>
      </c>
      <c r="D237" s="39" t="s">
        <v>134</v>
      </c>
      <c r="E237" s="111">
        <v>1220075170</v>
      </c>
      <c r="F237" s="111">
        <v>200</v>
      </c>
      <c r="G237" s="18">
        <f>G238</f>
        <v>72</v>
      </c>
      <c r="H237" s="18">
        <f t="shared" ref="H237:I237" si="94">H238</f>
        <v>72</v>
      </c>
      <c r="I237" s="18">
        <f t="shared" si="94"/>
        <v>72</v>
      </c>
    </row>
    <row r="238" spans="1:9" x14ac:dyDescent="0.25">
      <c r="A238" s="48">
        <v>221</v>
      </c>
      <c r="B238" s="81" t="s">
        <v>24</v>
      </c>
      <c r="C238" s="39" t="s">
        <v>204</v>
      </c>
      <c r="D238" s="39" t="s">
        <v>134</v>
      </c>
      <c r="E238" s="111">
        <v>1220075170</v>
      </c>
      <c r="F238" s="111">
        <v>240</v>
      </c>
      <c r="G238" s="18">
        <v>72</v>
      </c>
      <c r="H238" s="18">
        <v>72</v>
      </c>
      <c r="I238" s="18">
        <v>72</v>
      </c>
    </row>
    <row r="239" spans="1:9" x14ac:dyDescent="0.25">
      <c r="A239" s="22">
        <v>222</v>
      </c>
      <c r="B239" s="57" t="s">
        <v>47</v>
      </c>
      <c r="C239" s="39" t="s">
        <v>204</v>
      </c>
      <c r="D239" s="39" t="s">
        <v>135</v>
      </c>
      <c r="E239" s="111"/>
      <c r="F239" s="111"/>
      <c r="G239" s="18">
        <f>G240</f>
        <v>20038.04</v>
      </c>
      <c r="H239" s="18">
        <f t="shared" ref="H239:I239" si="95">H240</f>
        <v>13738.2</v>
      </c>
      <c r="I239" s="18">
        <f t="shared" si="95"/>
        <v>13738.2</v>
      </c>
    </row>
    <row r="240" spans="1:9" x14ac:dyDescent="0.25">
      <c r="A240" s="48">
        <v>223</v>
      </c>
      <c r="B240" s="117" t="s">
        <v>51</v>
      </c>
      <c r="C240" s="39" t="s">
        <v>204</v>
      </c>
      <c r="D240" s="39" t="s">
        <v>135</v>
      </c>
      <c r="E240" s="111">
        <v>1000000000</v>
      </c>
      <c r="F240" s="111"/>
      <c r="G240" s="18">
        <f>G241</f>
        <v>20038.04</v>
      </c>
      <c r="H240" s="18">
        <f t="shared" ref="H240:I243" si="96">H241</f>
        <v>13738.2</v>
      </c>
      <c r="I240" s="18">
        <f t="shared" si="96"/>
        <v>13738.2</v>
      </c>
    </row>
    <row r="241" spans="1:9" x14ac:dyDescent="0.25">
      <c r="A241" s="22">
        <v>224</v>
      </c>
      <c r="B241" s="117" t="s">
        <v>429</v>
      </c>
      <c r="C241" s="39" t="s">
        <v>204</v>
      </c>
      <c r="D241" s="39" t="s">
        <v>135</v>
      </c>
      <c r="E241" s="111">
        <v>1010000000</v>
      </c>
      <c r="F241" s="111"/>
      <c r="G241" s="18">
        <f>G242+G245</f>
        <v>20038.04</v>
      </c>
      <c r="H241" s="18">
        <f t="shared" ref="H241:I241" si="97">H242+H245</f>
        <v>13738.2</v>
      </c>
      <c r="I241" s="18">
        <f t="shared" si="97"/>
        <v>13738.2</v>
      </c>
    </row>
    <row r="242" spans="1:9" ht="75" x14ac:dyDescent="0.25">
      <c r="A242" s="48">
        <v>225</v>
      </c>
      <c r="B242" s="112" t="s">
        <v>52</v>
      </c>
      <c r="C242" s="39" t="s">
        <v>204</v>
      </c>
      <c r="D242" s="39" t="s">
        <v>135</v>
      </c>
      <c r="E242" s="111">
        <v>1010023580</v>
      </c>
      <c r="F242" s="111"/>
      <c r="G242" s="18">
        <f>G243</f>
        <v>16043.84</v>
      </c>
      <c r="H242" s="18">
        <f t="shared" si="96"/>
        <v>9744</v>
      </c>
      <c r="I242" s="18">
        <f t="shared" si="96"/>
        <v>9744</v>
      </c>
    </row>
    <row r="243" spans="1:9" x14ac:dyDescent="0.25">
      <c r="A243" s="22">
        <v>226</v>
      </c>
      <c r="B243" s="81" t="s">
        <v>38</v>
      </c>
      <c r="C243" s="39" t="s">
        <v>204</v>
      </c>
      <c r="D243" s="39" t="s">
        <v>135</v>
      </c>
      <c r="E243" s="111">
        <v>1010023580</v>
      </c>
      <c r="F243" s="111">
        <v>800</v>
      </c>
      <c r="G243" s="18">
        <f>G244</f>
        <v>16043.84</v>
      </c>
      <c r="H243" s="18">
        <f t="shared" si="96"/>
        <v>9744</v>
      </c>
      <c r="I243" s="18">
        <f t="shared" si="96"/>
        <v>9744</v>
      </c>
    </row>
    <row r="244" spans="1:9" ht="30" x14ac:dyDescent="0.25">
      <c r="A244" s="48">
        <v>227</v>
      </c>
      <c r="B244" s="81" t="s">
        <v>53</v>
      </c>
      <c r="C244" s="39" t="s">
        <v>204</v>
      </c>
      <c r="D244" s="39" t="s">
        <v>135</v>
      </c>
      <c r="E244" s="111">
        <v>1010023580</v>
      </c>
      <c r="F244" s="111">
        <v>810</v>
      </c>
      <c r="G244" s="18">
        <f>9744+6299.84</f>
        <v>16043.84</v>
      </c>
      <c r="H244" s="18">
        <v>9744</v>
      </c>
      <c r="I244" s="18">
        <v>9744</v>
      </c>
    </row>
    <row r="245" spans="1:9" ht="60" x14ac:dyDescent="0.25">
      <c r="A245" s="22">
        <v>228</v>
      </c>
      <c r="B245" s="80" t="s">
        <v>356</v>
      </c>
      <c r="C245" s="39" t="s">
        <v>204</v>
      </c>
      <c r="D245" s="39" t="s">
        <v>135</v>
      </c>
      <c r="E245" s="111">
        <v>1010023590</v>
      </c>
      <c r="F245" s="111"/>
      <c r="G245" s="18">
        <f>G246</f>
        <v>3994.2</v>
      </c>
      <c r="H245" s="18">
        <f t="shared" ref="H245:I246" si="98">H246</f>
        <v>3994.2</v>
      </c>
      <c r="I245" s="18">
        <f t="shared" si="98"/>
        <v>3994.2</v>
      </c>
    </row>
    <row r="246" spans="1:9" x14ac:dyDescent="0.25">
      <c r="A246" s="48">
        <v>229</v>
      </c>
      <c r="B246" s="81" t="s">
        <v>38</v>
      </c>
      <c r="C246" s="39" t="s">
        <v>204</v>
      </c>
      <c r="D246" s="39" t="s">
        <v>135</v>
      </c>
      <c r="E246" s="111">
        <v>1010023590</v>
      </c>
      <c r="F246" s="111">
        <v>800</v>
      </c>
      <c r="G246" s="18">
        <f>G247</f>
        <v>3994.2</v>
      </c>
      <c r="H246" s="18">
        <f t="shared" si="98"/>
        <v>3994.2</v>
      </c>
      <c r="I246" s="18">
        <f t="shared" si="98"/>
        <v>3994.2</v>
      </c>
    </row>
    <row r="247" spans="1:9" ht="30" x14ac:dyDescent="0.25">
      <c r="A247" s="22">
        <v>230</v>
      </c>
      <c r="B247" s="81" t="s">
        <v>53</v>
      </c>
      <c r="C247" s="39" t="s">
        <v>204</v>
      </c>
      <c r="D247" s="39" t="s">
        <v>135</v>
      </c>
      <c r="E247" s="111">
        <v>1010023590</v>
      </c>
      <c r="F247" s="111">
        <v>810</v>
      </c>
      <c r="G247" s="18">
        <v>3994.2</v>
      </c>
      <c r="H247" s="18">
        <v>3994.2</v>
      </c>
      <c r="I247" s="18">
        <v>3994.2</v>
      </c>
    </row>
    <row r="248" spans="1:9" x14ac:dyDescent="0.25">
      <c r="A248" s="48">
        <v>231</v>
      </c>
      <c r="B248" s="57" t="s">
        <v>54</v>
      </c>
      <c r="C248" s="39" t="s">
        <v>204</v>
      </c>
      <c r="D248" s="39" t="s">
        <v>137</v>
      </c>
      <c r="E248" s="111"/>
      <c r="F248" s="111"/>
      <c r="G248" s="18">
        <f t="shared" ref="G248:I252" si="99">G249</f>
        <v>712.7</v>
      </c>
      <c r="H248" s="18">
        <f t="shared" si="99"/>
        <v>750.68000000000006</v>
      </c>
      <c r="I248" s="18">
        <f t="shared" si="99"/>
        <v>817.7</v>
      </c>
    </row>
    <row r="249" spans="1:9" x14ac:dyDescent="0.25">
      <c r="A249" s="22">
        <v>232</v>
      </c>
      <c r="B249" s="117" t="s">
        <v>51</v>
      </c>
      <c r="C249" s="39" t="s">
        <v>204</v>
      </c>
      <c r="D249" s="39" t="s">
        <v>137</v>
      </c>
      <c r="E249" s="22">
        <v>1000000000</v>
      </c>
      <c r="F249" s="111"/>
      <c r="G249" s="18">
        <f>G250+G254</f>
        <v>712.7</v>
      </c>
      <c r="H249" s="18">
        <f t="shared" ref="H249:I249" si="100">H250+H254</f>
        <v>750.68000000000006</v>
      </c>
      <c r="I249" s="18">
        <f t="shared" si="100"/>
        <v>817.7</v>
      </c>
    </row>
    <row r="250" spans="1:9" x14ac:dyDescent="0.25">
      <c r="A250" s="48">
        <v>233</v>
      </c>
      <c r="B250" s="117" t="s">
        <v>55</v>
      </c>
      <c r="C250" s="39" t="s">
        <v>204</v>
      </c>
      <c r="D250" s="39" t="s">
        <v>137</v>
      </c>
      <c r="E250" s="22">
        <v>1020000000</v>
      </c>
      <c r="F250" s="111"/>
      <c r="G250" s="18">
        <f t="shared" si="99"/>
        <v>392.5</v>
      </c>
      <c r="H250" s="18">
        <f t="shared" ref="H250:I250" si="101">H251</f>
        <v>418.6</v>
      </c>
      <c r="I250" s="18">
        <f t="shared" si="101"/>
        <v>476.1</v>
      </c>
    </row>
    <row r="251" spans="1:9" ht="30" x14ac:dyDescent="0.25">
      <c r="A251" s="22">
        <v>234</v>
      </c>
      <c r="B251" s="117" t="s">
        <v>202</v>
      </c>
      <c r="C251" s="39" t="s">
        <v>204</v>
      </c>
      <c r="D251" s="39" t="s">
        <v>137</v>
      </c>
      <c r="E251" s="22">
        <v>1020082220</v>
      </c>
      <c r="F251" s="111"/>
      <c r="G251" s="18">
        <f t="shared" si="99"/>
        <v>392.5</v>
      </c>
      <c r="H251" s="18">
        <f t="shared" ref="H251:I252" si="102">H252</f>
        <v>418.6</v>
      </c>
      <c r="I251" s="18">
        <f t="shared" si="102"/>
        <v>476.1</v>
      </c>
    </row>
    <row r="252" spans="1:9" x14ac:dyDescent="0.25">
      <c r="A252" s="48">
        <v>235</v>
      </c>
      <c r="B252" s="81" t="s">
        <v>23</v>
      </c>
      <c r="C252" s="39" t="s">
        <v>204</v>
      </c>
      <c r="D252" s="39" t="s">
        <v>137</v>
      </c>
      <c r="E252" s="22">
        <v>1020082220</v>
      </c>
      <c r="F252" s="111">
        <v>200</v>
      </c>
      <c r="G252" s="18">
        <f t="shared" si="99"/>
        <v>392.5</v>
      </c>
      <c r="H252" s="18">
        <f t="shared" si="102"/>
        <v>418.6</v>
      </c>
      <c r="I252" s="18">
        <f t="shared" si="102"/>
        <v>476.1</v>
      </c>
    </row>
    <row r="253" spans="1:9" x14ac:dyDescent="0.25">
      <c r="A253" s="22">
        <v>236</v>
      </c>
      <c r="B253" s="81" t="s">
        <v>24</v>
      </c>
      <c r="C253" s="39" t="s">
        <v>204</v>
      </c>
      <c r="D253" s="39" t="s">
        <v>137</v>
      </c>
      <c r="E253" s="22">
        <v>1020082220</v>
      </c>
      <c r="F253" s="111">
        <v>240</v>
      </c>
      <c r="G253" s="18">
        <v>392.5</v>
      </c>
      <c r="H253" s="18">
        <v>418.6</v>
      </c>
      <c r="I253" s="18">
        <v>476.1</v>
      </c>
    </row>
    <row r="254" spans="1:9" x14ac:dyDescent="0.25">
      <c r="A254" s="48">
        <v>237</v>
      </c>
      <c r="B254" s="80" t="s">
        <v>342</v>
      </c>
      <c r="C254" s="39" t="s">
        <v>204</v>
      </c>
      <c r="D254" s="39" t="s">
        <v>137</v>
      </c>
      <c r="E254" s="111">
        <v>1040000000</v>
      </c>
      <c r="F254" s="111"/>
      <c r="G254" s="18">
        <f>G258+G255</f>
        <v>320.2</v>
      </c>
      <c r="H254" s="18">
        <f t="shared" ref="H254:I254" si="103">H258+H255</f>
        <v>332.08</v>
      </c>
      <c r="I254" s="18">
        <f t="shared" si="103"/>
        <v>341.6</v>
      </c>
    </row>
    <row r="255" spans="1:9" ht="30" x14ac:dyDescent="0.25">
      <c r="A255" s="22">
        <v>238</v>
      </c>
      <c r="B255" s="117" t="s">
        <v>358</v>
      </c>
      <c r="C255" s="39" t="s">
        <v>204</v>
      </c>
      <c r="D255" s="39" t="s">
        <v>137</v>
      </c>
      <c r="E255" s="111">
        <v>1040075080</v>
      </c>
      <c r="F255" s="111"/>
      <c r="G255" s="18">
        <f>G256</f>
        <v>316</v>
      </c>
      <c r="H255" s="18">
        <f t="shared" ref="H255:I256" si="104">H256</f>
        <v>328.78</v>
      </c>
      <c r="I255" s="18">
        <f t="shared" si="104"/>
        <v>341.6</v>
      </c>
    </row>
    <row r="256" spans="1:9" x14ac:dyDescent="0.25">
      <c r="A256" s="48">
        <v>239</v>
      </c>
      <c r="B256" s="81" t="s">
        <v>23</v>
      </c>
      <c r="C256" s="39" t="s">
        <v>204</v>
      </c>
      <c r="D256" s="39" t="s">
        <v>137</v>
      </c>
      <c r="E256" s="111">
        <v>1040075080</v>
      </c>
      <c r="F256" s="111">
        <v>200</v>
      </c>
      <c r="G256" s="18">
        <f>G257</f>
        <v>316</v>
      </c>
      <c r="H256" s="18">
        <f t="shared" si="104"/>
        <v>328.78</v>
      </c>
      <c r="I256" s="18">
        <f t="shared" si="104"/>
        <v>341.6</v>
      </c>
    </row>
    <row r="257" spans="1:10" x14ac:dyDescent="0.25">
      <c r="A257" s="22">
        <v>240</v>
      </c>
      <c r="B257" s="81" t="s">
        <v>24</v>
      </c>
      <c r="C257" s="39" t="s">
        <v>204</v>
      </c>
      <c r="D257" s="39" t="s">
        <v>137</v>
      </c>
      <c r="E257" s="111">
        <v>1040075080</v>
      </c>
      <c r="F257" s="111">
        <v>240</v>
      </c>
      <c r="G257" s="18">
        <v>316</v>
      </c>
      <c r="H257" s="18">
        <v>328.78</v>
      </c>
      <c r="I257" s="18">
        <v>341.6</v>
      </c>
    </row>
    <row r="258" spans="1:10" ht="30" x14ac:dyDescent="0.25">
      <c r="A258" s="48">
        <v>241</v>
      </c>
      <c r="B258" s="80" t="s">
        <v>324</v>
      </c>
      <c r="C258" s="39" t="s">
        <v>204</v>
      </c>
      <c r="D258" s="39" t="s">
        <v>137</v>
      </c>
      <c r="E258" s="22" t="s">
        <v>357</v>
      </c>
      <c r="F258" s="111"/>
      <c r="G258" s="18">
        <f>G259</f>
        <v>4.2</v>
      </c>
      <c r="H258" s="18">
        <f t="shared" ref="H258:I258" si="105">H259</f>
        <v>3.3</v>
      </c>
      <c r="I258" s="18">
        <f t="shared" si="105"/>
        <v>0</v>
      </c>
    </row>
    <row r="259" spans="1:10" x14ac:dyDescent="0.25">
      <c r="A259" s="22">
        <v>242</v>
      </c>
      <c r="B259" s="81" t="s">
        <v>23</v>
      </c>
      <c r="C259" s="39" t="s">
        <v>204</v>
      </c>
      <c r="D259" s="39" t="s">
        <v>137</v>
      </c>
      <c r="E259" s="22" t="s">
        <v>357</v>
      </c>
      <c r="F259" s="111">
        <v>200</v>
      </c>
      <c r="G259" s="18">
        <f>G260</f>
        <v>4.2</v>
      </c>
      <c r="H259" s="18">
        <f t="shared" ref="H259:I259" si="106">H260</f>
        <v>3.3</v>
      </c>
      <c r="I259" s="18">
        <f t="shared" si="106"/>
        <v>0</v>
      </c>
    </row>
    <row r="260" spans="1:10" x14ac:dyDescent="0.25">
      <c r="A260" s="48">
        <v>243</v>
      </c>
      <c r="B260" s="81" t="s">
        <v>24</v>
      </c>
      <c r="C260" s="39" t="s">
        <v>204</v>
      </c>
      <c r="D260" s="39" t="s">
        <v>137</v>
      </c>
      <c r="E260" s="22" t="s">
        <v>357</v>
      </c>
      <c r="F260" s="111">
        <v>240</v>
      </c>
      <c r="G260" s="18">
        <f>3.2+1</f>
        <v>4.2</v>
      </c>
      <c r="H260" s="18">
        <v>3.3</v>
      </c>
      <c r="I260" s="18">
        <v>0</v>
      </c>
    </row>
    <row r="261" spans="1:10" x14ac:dyDescent="0.25">
      <c r="A261" s="22">
        <v>244</v>
      </c>
      <c r="B261" s="80" t="s">
        <v>359</v>
      </c>
      <c r="C261" s="39" t="s">
        <v>204</v>
      </c>
      <c r="D261" s="39" t="s">
        <v>360</v>
      </c>
      <c r="E261" s="22"/>
      <c r="F261" s="111"/>
      <c r="G261" s="18">
        <f>G262</f>
        <v>280.52</v>
      </c>
      <c r="H261" s="18">
        <f t="shared" ref="H261:I261" si="107">H262+H264</f>
        <v>0</v>
      </c>
      <c r="I261" s="18">
        <f t="shared" si="107"/>
        <v>0</v>
      </c>
    </row>
    <row r="262" spans="1:10" x14ac:dyDescent="0.25">
      <c r="A262" s="48">
        <v>245</v>
      </c>
      <c r="B262" s="117" t="s">
        <v>51</v>
      </c>
      <c r="C262" s="39" t="s">
        <v>204</v>
      </c>
      <c r="D262" s="39" t="s">
        <v>360</v>
      </c>
      <c r="E262" s="22">
        <v>1000000000</v>
      </c>
      <c r="F262" s="111"/>
      <c r="G262" s="18">
        <f>G263</f>
        <v>280.52</v>
      </c>
      <c r="H262" s="18">
        <f t="shared" ref="H262:I263" si="108">H263</f>
        <v>0</v>
      </c>
      <c r="I262" s="18">
        <f t="shared" si="108"/>
        <v>0</v>
      </c>
    </row>
    <row r="263" spans="1:10" x14ac:dyDescent="0.25">
      <c r="A263" s="22">
        <v>246</v>
      </c>
      <c r="B263" s="117" t="s">
        <v>46</v>
      </c>
      <c r="C263" s="39" t="s">
        <v>204</v>
      </c>
      <c r="D263" s="39" t="s">
        <v>360</v>
      </c>
      <c r="E263" s="22">
        <v>1090000000</v>
      </c>
      <c r="F263" s="111"/>
      <c r="G263" s="18">
        <f>G264</f>
        <v>280.52</v>
      </c>
      <c r="H263" s="18">
        <f t="shared" si="108"/>
        <v>0</v>
      </c>
      <c r="I263" s="18">
        <f t="shared" si="108"/>
        <v>0</v>
      </c>
    </row>
    <row r="264" spans="1:10" ht="30" x14ac:dyDescent="0.25">
      <c r="A264" s="48">
        <v>247</v>
      </c>
      <c r="B264" s="126" t="s">
        <v>485</v>
      </c>
      <c r="C264" s="39" t="s">
        <v>204</v>
      </c>
      <c r="D264" s="39" t="s">
        <v>360</v>
      </c>
      <c r="E264" s="22" t="s">
        <v>486</v>
      </c>
      <c r="F264" s="111"/>
      <c r="G264" s="18">
        <f>G265</f>
        <v>280.52</v>
      </c>
      <c r="H264" s="18">
        <f t="shared" ref="H264:I265" si="109">H265</f>
        <v>0</v>
      </c>
      <c r="I264" s="18">
        <f t="shared" si="109"/>
        <v>0</v>
      </c>
    </row>
    <row r="265" spans="1:10" x14ac:dyDescent="0.25">
      <c r="A265" s="22">
        <v>248</v>
      </c>
      <c r="B265" s="81" t="s">
        <v>23</v>
      </c>
      <c r="C265" s="39" t="s">
        <v>204</v>
      </c>
      <c r="D265" s="39" t="s">
        <v>360</v>
      </c>
      <c r="E265" s="22" t="s">
        <v>486</v>
      </c>
      <c r="F265" s="111">
        <v>200</v>
      </c>
      <c r="G265" s="18">
        <f>G266</f>
        <v>280.52</v>
      </c>
      <c r="H265" s="18">
        <f t="shared" si="109"/>
        <v>0</v>
      </c>
      <c r="I265" s="18">
        <f t="shared" si="109"/>
        <v>0</v>
      </c>
    </row>
    <row r="266" spans="1:10" x14ac:dyDescent="0.25">
      <c r="A266" s="48">
        <v>249</v>
      </c>
      <c r="B266" s="81" t="s">
        <v>24</v>
      </c>
      <c r="C266" s="39" t="s">
        <v>204</v>
      </c>
      <c r="D266" s="39" t="s">
        <v>360</v>
      </c>
      <c r="E266" s="22" t="s">
        <v>486</v>
      </c>
      <c r="F266" s="111">
        <v>240</v>
      </c>
      <c r="G266" s="18">
        <f>195.52+70+15</f>
        <v>280.52</v>
      </c>
      <c r="H266" s="18">
        <v>0</v>
      </c>
      <c r="I266" s="18">
        <v>0</v>
      </c>
    </row>
    <row r="267" spans="1:10" x14ac:dyDescent="0.25">
      <c r="A267" s="22">
        <v>250</v>
      </c>
      <c r="B267" s="57" t="s">
        <v>56</v>
      </c>
      <c r="C267" s="39" t="s">
        <v>204</v>
      </c>
      <c r="D267" s="39" t="s">
        <v>138</v>
      </c>
      <c r="E267" s="111"/>
      <c r="F267" s="111"/>
      <c r="G267" s="18">
        <f>G268+G276+G280</f>
        <v>919.6</v>
      </c>
      <c r="H267" s="18">
        <f t="shared" ref="H267:I267" si="110">H268+H276+H280</f>
        <v>262.10000000000002</v>
      </c>
      <c r="I267" s="18">
        <f t="shared" si="110"/>
        <v>262.10000000000002</v>
      </c>
    </row>
    <row r="268" spans="1:10" ht="30" x14ac:dyDescent="0.25">
      <c r="A268" s="48">
        <v>251</v>
      </c>
      <c r="B268" s="117" t="s">
        <v>49</v>
      </c>
      <c r="C268" s="39" t="s">
        <v>204</v>
      </c>
      <c r="D268" s="39" t="s">
        <v>138</v>
      </c>
      <c r="E268" s="39" t="s">
        <v>237</v>
      </c>
      <c r="F268" s="111"/>
      <c r="G268" s="18">
        <f>G269</f>
        <v>717.5</v>
      </c>
      <c r="H268" s="18">
        <f t="shared" ref="H268:I274" si="111">H269</f>
        <v>60</v>
      </c>
      <c r="I268" s="18">
        <f t="shared" si="111"/>
        <v>60</v>
      </c>
    </row>
    <row r="269" spans="1:10" x14ac:dyDescent="0.25">
      <c r="A269" s="22">
        <v>252</v>
      </c>
      <c r="B269" s="112" t="s">
        <v>46</v>
      </c>
      <c r="C269" s="39" t="s">
        <v>204</v>
      </c>
      <c r="D269" s="39" t="s">
        <v>138</v>
      </c>
      <c r="E269" s="39" t="s">
        <v>238</v>
      </c>
      <c r="F269" s="111"/>
      <c r="G269" s="18">
        <f>G273+G270</f>
        <v>717.5</v>
      </c>
      <c r="H269" s="18">
        <f>H273</f>
        <v>60</v>
      </c>
      <c r="I269" s="18">
        <f>I273</f>
        <v>60</v>
      </c>
    </row>
    <row r="270" spans="1:10" ht="30" x14ac:dyDescent="0.25">
      <c r="A270" s="48">
        <v>253</v>
      </c>
      <c r="B270" s="112" t="s">
        <v>530</v>
      </c>
      <c r="C270" s="39" t="s">
        <v>204</v>
      </c>
      <c r="D270" s="39" t="s">
        <v>138</v>
      </c>
      <c r="E270" s="39" t="s">
        <v>531</v>
      </c>
      <c r="F270" s="111"/>
      <c r="G270" s="18">
        <f>G271</f>
        <v>657.5</v>
      </c>
      <c r="H270" s="18">
        <f t="shared" ref="H270:I271" si="112">H271</f>
        <v>0</v>
      </c>
      <c r="I270" s="18">
        <f t="shared" si="112"/>
        <v>0</v>
      </c>
    </row>
    <row r="271" spans="1:10" x14ac:dyDescent="0.25">
      <c r="A271" s="22">
        <v>254</v>
      </c>
      <c r="B271" s="81" t="s">
        <v>38</v>
      </c>
      <c r="C271" s="39" t="s">
        <v>204</v>
      </c>
      <c r="D271" s="39" t="s">
        <v>138</v>
      </c>
      <c r="E271" s="39" t="s">
        <v>531</v>
      </c>
      <c r="F271" s="111">
        <v>800</v>
      </c>
      <c r="G271" s="18">
        <f>G272</f>
        <v>657.5</v>
      </c>
      <c r="H271" s="18">
        <f t="shared" si="112"/>
        <v>0</v>
      </c>
      <c r="I271" s="18">
        <f t="shared" si="112"/>
        <v>0</v>
      </c>
    </row>
    <row r="272" spans="1:10" ht="30" x14ac:dyDescent="0.25">
      <c r="A272" s="48">
        <v>255</v>
      </c>
      <c r="B272" s="81" t="s">
        <v>53</v>
      </c>
      <c r="C272" s="39" t="s">
        <v>204</v>
      </c>
      <c r="D272" s="39" t="s">
        <v>138</v>
      </c>
      <c r="E272" s="39" t="s">
        <v>531</v>
      </c>
      <c r="F272" s="111">
        <v>810</v>
      </c>
      <c r="G272" s="18">
        <v>657.5</v>
      </c>
      <c r="H272" s="18">
        <v>0</v>
      </c>
      <c r="I272" s="18">
        <v>0</v>
      </c>
    </row>
    <row r="273" spans="1:9" x14ac:dyDescent="0.25">
      <c r="A273" s="22">
        <v>256</v>
      </c>
      <c r="B273" s="112" t="s">
        <v>57</v>
      </c>
      <c r="C273" s="39" t="s">
        <v>204</v>
      </c>
      <c r="D273" s="39" t="s">
        <v>138</v>
      </c>
      <c r="E273" s="39" t="s">
        <v>239</v>
      </c>
      <c r="F273" s="111"/>
      <c r="G273" s="18">
        <f>G274</f>
        <v>60</v>
      </c>
      <c r="H273" s="18">
        <f t="shared" si="111"/>
        <v>60</v>
      </c>
      <c r="I273" s="18">
        <f t="shared" si="111"/>
        <v>60</v>
      </c>
    </row>
    <row r="274" spans="1:9" x14ac:dyDescent="0.25">
      <c r="A274" s="48">
        <v>257</v>
      </c>
      <c r="B274" s="81" t="s">
        <v>38</v>
      </c>
      <c r="C274" s="39" t="s">
        <v>204</v>
      </c>
      <c r="D274" s="39" t="s">
        <v>138</v>
      </c>
      <c r="E274" s="39" t="s">
        <v>239</v>
      </c>
      <c r="F274" s="111">
        <v>800</v>
      </c>
      <c r="G274" s="18">
        <f>G275</f>
        <v>60</v>
      </c>
      <c r="H274" s="18">
        <f t="shared" si="111"/>
        <v>60</v>
      </c>
      <c r="I274" s="18">
        <f t="shared" si="111"/>
        <v>60</v>
      </c>
    </row>
    <row r="275" spans="1:9" ht="30" x14ac:dyDescent="0.25">
      <c r="A275" s="22">
        <v>258</v>
      </c>
      <c r="B275" s="81" t="s">
        <v>53</v>
      </c>
      <c r="C275" s="39" t="s">
        <v>204</v>
      </c>
      <c r="D275" s="39" t="s">
        <v>138</v>
      </c>
      <c r="E275" s="39" t="s">
        <v>239</v>
      </c>
      <c r="F275" s="111">
        <v>810</v>
      </c>
      <c r="G275" s="18">
        <v>60</v>
      </c>
      <c r="H275" s="18">
        <v>60</v>
      </c>
      <c r="I275" s="18">
        <v>60</v>
      </c>
    </row>
    <row r="276" spans="1:9" ht="30" x14ac:dyDescent="0.25">
      <c r="A276" s="48">
        <v>259</v>
      </c>
      <c r="B276" s="117" t="s">
        <v>328</v>
      </c>
      <c r="C276" s="39" t="s">
        <v>204</v>
      </c>
      <c r="D276" s="39" t="s">
        <v>138</v>
      </c>
      <c r="E276" s="70">
        <v>1100000000</v>
      </c>
      <c r="F276" s="111"/>
      <c r="G276" s="18">
        <f>G277</f>
        <v>0</v>
      </c>
      <c r="H276" s="18">
        <f t="shared" ref="H276:I278" si="113">H277</f>
        <v>0</v>
      </c>
      <c r="I276" s="18">
        <f t="shared" si="113"/>
        <v>0</v>
      </c>
    </row>
    <row r="277" spans="1:9" ht="30" x14ac:dyDescent="0.25">
      <c r="A277" s="22">
        <v>260</v>
      </c>
      <c r="B277" s="117" t="s">
        <v>172</v>
      </c>
      <c r="C277" s="39" t="s">
        <v>204</v>
      </c>
      <c r="D277" s="39" t="s">
        <v>138</v>
      </c>
      <c r="E277" s="70">
        <v>1130000000</v>
      </c>
      <c r="F277" s="111"/>
      <c r="G277" s="18">
        <f>G278</f>
        <v>0</v>
      </c>
      <c r="H277" s="18">
        <f t="shared" si="113"/>
        <v>0</v>
      </c>
      <c r="I277" s="18">
        <f t="shared" si="113"/>
        <v>0</v>
      </c>
    </row>
    <row r="278" spans="1:9" ht="30" x14ac:dyDescent="0.25">
      <c r="A278" s="48">
        <v>261</v>
      </c>
      <c r="B278" s="80" t="s">
        <v>329</v>
      </c>
      <c r="C278" s="39" t="s">
        <v>204</v>
      </c>
      <c r="D278" s="39" t="s">
        <v>138</v>
      </c>
      <c r="E278" s="70" t="s">
        <v>361</v>
      </c>
      <c r="F278" s="70">
        <v>200</v>
      </c>
      <c r="G278" s="18">
        <f>G279</f>
        <v>0</v>
      </c>
      <c r="H278" s="18">
        <f t="shared" si="113"/>
        <v>0</v>
      </c>
      <c r="I278" s="18">
        <f t="shared" si="113"/>
        <v>0</v>
      </c>
    </row>
    <row r="279" spans="1:9" ht="18.75" customHeight="1" x14ac:dyDescent="0.25">
      <c r="A279" s="22">
        <v>262</v>
      </c>
      <c r="B279" s="81" t="s">
        <v>24</v>
      </c>
      <c r="C279" s="39" t="s">
        <v>204</v>
      </c>
      <c r="D279" s="39" t="s">
        <v>138</v>
      </c>
      <c r="E279" s="70" t="s">
        <v>361</v>
      </c>
      <c r="F279" s="70">
        <v>240</v>
      </c>
      <c r="G279" s="18">
        <f>347.05-347.05</f>
        <v>0</v>
      </c>
      <c r="H279" s="18">
        <v>0</v>
      </c>
      <c r="I279" s="18">
        <v>0</v>
      </c>
    </row>
    <row r="280" spans="1:9" ht="30" x14ac:dyDescent="0.25">
      <c r="A280" s="48">
        <v>263</v>
      </c>
      <c r="B280" s="20" t="s">
        <v>207</v>
      </c>
      <c r="C280" s="29" t="s">
        <v>204</v>
      </c>
      <c r="D280" s="39" t="s">
        <v>138</v>
      </c>
      <c r="E280" s="111">
        <v>1200000000</v>
      </c>
      <c r="F280" s="111"/>
      <c r="G280" s="18">
        <f t="shared" ref="G280:I283" si="114">G281</f>
        <v>202.1</v>
      </c>
      <c r="H280" s="18">
        <f t="shared" si="114"/>
        <v>202.1</v>
      </c>
      <c r="I280" s="18">
        <f t="shared" si="114"/>
        <v>202.1</v>
      </c>
    </row>
    <row r="281" spans="1:9" x14ac:dyDescent="0.25">
      <c r="A281" s="22">
        <v>264</v>
      </c>
      <c r="B281" s="117" t="s">
        <v>385</v>
      </c>
      <c r="C281" s="29" t="s">
        <v>204</v>
      </c>
      <c r="D281" s="39" t="s">
        <v>138</v>
      </c>
      <c r="E281" s="111">
        <v>1210000000</v>
      </c>
      <c r="F281" s="111"/>
      <c r="G281" s="18">
        <f t="shared" si="114"/>
        <v>202.1</v>
      </c>
      <c r="H281" s="18">
        <f t="shared" si="114"/>
        <v>202.1</v>
      </c>
      <c r="I281" s="18">
        <f t="shared" si="114"/>
        <v>202.1</v>
      </c>
    </row>
    <row r="282" spans="1:9" ht="30" x14ac:dyDescent="0.25">
      <c r="A282" s="48">
        <v>265</v>
      </c>
      <c r="B282" s="114" t="s">
        <v>59</v>
      </c>
      <c r="C282" s="29" t="s">
        <v>204</v>
      </c>
      <c r="D282" s="39" t="s">
        <v>138</v>
      </c>
      <c r="E282" s="111">
        <v>1210075180</v>
      </c>
      <c r="F282" s="111"/>
      <c r="G282" s="18">
        <f t="shared" si="114"/>
        <v>202.1</v>
      </c>
      <c r="H282" s="18">
        <f t="shared" si="114"/>
        <v>202.1</v>
      </c>
      <c r="I282" s="18">
        <f t="shared" si="114"/>
        <v>202.1</v>
      </c>
    </row>
    <row r="283" spans="1:9" x14ac:dyDescent="0.25">
      <c r="A283" s="22">
        <v>266</v>
      </c>
      <c r="B283" s="81" t="s">
        <v>23</v>
      </c>
      <c r="C283" s="29" t="s">
        <v>204</v>
      </c>
      <c r="D283" s="39" t="s">
        <v>138</v>
      </c>
      <c r="E283" s="111">
        <v>1210075180</v>
      </c>
      <c r="F283" s="111">
        <v>200</v>
      </c>
      <c r="G283" s="18">
        <f t="shared" si="114"/>
        <v>202.1</v>
      </c>
      <c r="H283" s="18">
        <f t="shared" si="114"/>
        <v>202.1</v>
      </c>
      <c r="I283" s="18">
        <f t="shared" si="114"/>
        <v>202.1</v>
      </c>
    </row>
    <row r="284" spans="1:9" x14ac:dyDescent="0.25">
      <c r="A284" s="48">
        <v>267</v>
      </c>
      <c r="B284" s="81" t="s">
        <v>24</v>
      </c>
      <c r="C284" s="29" t="s">
        <v>204</v>
      </c>
      <c r="D284" s="39" t="s">
        <v>138</v>
      </c>
      <c r="E284" s="111">
        <v>1210075180</v>
      </c>
      <c r="F284" s="111">
        <v>240</v>
      </c>
      <c r="G284" s="18">
        <v>202.1</v>
      </c>
      <c r="H284" s="18">
        <v>202.1</v>
      </c>
      <c r="I284" s="18">
        <v>202.1</v>
      </c>
    </row>
    <row r="285" spans="1:9" x14ac:dyDescent="0.25">
      <c r="A285" s="22">
        <v>268</v>
      </c>
      <c r="B285" s="57" t="s">
        <v>139</v>
      </c>
      <c r="C285" s="39" t="s">
        <v>204</v>
      </c>
      <c r="D285" s="39" t="s">
        <v>140</v>
      </c>
      <c r="E285" s="111"/>
      <c r="F285" s="111"/>
      <c r="G285" s="18">
        <f>G292+G286</f>
        <v>58616.1</v>
      </c>
      <c r="H285" s="18">
        <f t="shared" ref="H285:I285" si="115">H292+H286</f>
        <v>50982</v>
      </c>
      <c r="I285" s="18">
        <f t="shared" si="115"/>
        <v>50982</v>
      </c>
    </row>
    <row r="286" spans="1:9" x14ac:dyDescent="0.25">
      <c r="A286" s="48">
        <v>269</v>
      </c>
      <c r="B286" s="57" t="s">
        <v>520</v>
      </c>
      <c r="C286" s="39" t="s">
        <v>204</v>
      </c>
      <c r="D286" s="39" t="s">
        <v>521</v>
      </c>
      <c r="E286" s="111"/>
      <c r="F286" s="111"/>
      <c r="G286" s="18">
        <f>G287</f>
        <v>294</v>
      </c>
      <c r="H286" s="18">
        <f t="shared" ref="H286:I286" si="116">H287</f>
        <v>0</v>
      </c>
      <c r="I286" s="18">
        <f t="shared" si="116"/>
        <v>0</v>
      </c>
    </row>
    <row r="287" spans="1:9" x14ac:dyDescent="0.25">
      <c r="A287" s="22">
        <v>270</v>
      </c>
      <c r="B287" s="80" t="s">
        <v>343</v>
      </c>
      <c r="C287" s="39" t="s">
        <v>204</v>
      </c>
      <c r="D287" s="39" t="s">
        <v>521</v>
      </c>
      <c r="E287" s="111">
        <v>8500000000</v>
      </c>
      <c r="F287" s="111"/>
      <c r="G287" s="18">
        <f>G289</f>
        <v>294</v>
      </c>
      <c r="H287" s="18">
        <f t="shared" ref="H287:I287" si="117">H289</f>
        <v>0</v>
      </c>
      <c r="I287" s="18">
        <f t="shared" si="117"/>
        <v>0</v>
      </c>
    </row>
    <row r="288" spans="1:9" x14ac:dyDescent="0.25">
      <c r="A288" s="48">
        <v>271</v>
      </c>
      <c r="B288" s="80" t="s">
        <v>344</v>
      </c>
      <c r="C288" s="39" t="s">
        <v>204</v>
      </c>
      <c r="D288" s="39" t="s">
        <v>521</v>
      </c>
      <c r="E288" s="111">
        <v>8510000000</v>
      </c>
      <c r="F288" s="111"/>
      <c r="G288" s="18">
        <f>G289</f>
        <v>294</v>
      </c>
      <c r="H288" s="18">
        <f t="shared" ref="H288:I290" si="118">H289</f>
        <v>0</v>
      </c>
      <c r="I288" s="18">
        <f t="shared" si="118"/>
        <v>0</v>
      </c>
    </row>
    <row r="289" spans="1:13" x14ac:dyDescent="0.25">
      <c r="A289" s="22">
        <v>272</v>
      </c>
      <c r="B289" s="80" t="s">
        <v>559</v>
      </c>
      <c r="C289" s="39" t="s">
        <v>204</v>
      </c>
      <c r="D289" s="39" t="s">
        <v>521</v>
      </c>
      <c r="E289" s="111">
        <v>8510092030</v>
      </c>
      <c r="F289" s="111"/>
      <c r="G289" s="18">
        <f>G290</f>
        <v>294</v>
      </c>
      <c r="H289" s="18">
        <f t="shared" si="118"/>
        <v>0</v>
      </c>
      <c r="I289" s="18">
        <f t="shared" si="118"/>
        <v>0</v>
      </c>
    </row>
    <row r="290" spans="1:13" x14ac:dyDescent="0.25">
      <c r="A290" s="48">
        <v>273</v>
      </c>
      <c r="B290" s="81" t="s">
        <v>23</v>
      </c>
      <c r="C290" s="39" t="s">
        <v>204</v>
      </c>
      <c r="D290" s="39" t="s">
        <v>521</v>
      </c>
      <c r="E290" s="111">
        <v>8510092030</v>
      </c>
      <c r="F290" s="111">
        <v>200</v>
      </c>
      <c r="G290" s="18">
        <f>G291</f>
        <v>294</v>
      </c>
      <c r="H290" s="18">
        <f t="shared" si="118"/>
        <v>0</v>
      </c>
      <c r="I290" s="18">
        <f t="shared" si="118"/>
        <v>0</v>
      </c>
    </row>
    <row r="291" spans="1:13" x14ac:dyDescent="0.25">
      <c r="A291" s="22">
        <v>274</v>
      </c>
      <c r="B291" s="81" t="s">
        <v>24</v>
      </c>
      <c r="C291" s="39" t="s">
        <v>204</v>
      </c>
      <c r="D291" s="39" t="s">
        <v>521</v>
      </c>
      <c r="E291" s="111">
        <v>8510092030</v>
      </c>
      <c r="F291" s="111">
        <v>240</v>
      </c>
      <c r="G291" s="18">
        <v>294</v>
      </c>
      <c r="H291" s="18">
        <v>0</v>
      </c>
      <c r="I291" s="18">
        <v>0</v>
      </c>
    </row>
    <row r="292" spans="1:13" x14ac:dyDescent="0.25">
      <c r="A292" s="48">
        <v>275</v>
      </c>
      <c r="B292" s="112" t="s">
        <v>60</v>
      </c>
      <c r="C292" s="39" t="s">
        <v>204</v>
      </c>
      <c r="D292" s="39" t="s">
        <v>142</v>
      </c>
      <c r="E292" s="111"/>
      <c r="F292" s="111"/>
      <c r="G292" s="18">
        <f>G293</f>
        <v>58322.1</v>
      </c>
      <c r="H292" s="18">
        <f t="shared" ref="H292:I292" si="119">H293</f>
        <v>50982</v>
      </c>
      <c r="I292" s="18">
        <f t="shared" si="119"/>
        <v>50982</v>
      </c>
    </row>
    <row r="293" spans="1:13" ht="30" x14ac:dyDescent="0.25">
      <c r="A293" s="22">
        <v>276</v>
      </c>
      <c r="B293" s="112" t="s">
        <v>61</v>
      </c>
      <c r="C293" s="39" t="s">
        <v>204</v>
      </c>
      <c r="D293" s="39" t="s">
        <v>142</v>
      </c>
      <c r="E293" s="39" t="s">
        <v>228</v>
      </c>
      <c r="F293" s="111"/>
      <c r="G293" s="18">
        <f>G294</f>
        <v>58322.1</v>
      </c>
      <c r="H293" s="18">
        <f t="shared" ref="H293:I293" si="120">H294</f>
        <v>50982</v>
      </c>
      <c r="I293" s="18">
        <f t="shared" si="120"/>
        <v>50982</v>
      </c>
    </row>
    <row r="294" spans="1:13" x14ac:dyDescent="0.25">
      <c r="A294" s="48">
        <v>277</v>
      </c>
      <c r="B294" s="19" t="s">
        <v>46</v>
      </c>
      <c r="C294" s="39" t="s">
        <v>204</v>
      </c>
      <c r="D294" s="39" t="s">
        <v>142</v>
      </c>
      <c r="E294" s="39" t="s">
        <v>240</v>
      </c>
      <c r="F294" s="111"/>
      <c r="G294" s="18">
        <f>G295+G298</f>
        <v>58322.1</v>
      </c>
      <c r="H294" s="18">
        <f t="shared" ref="H294:I294" si="121">H295+H298</f>
        <v>50982</v>
      </c>
      <c r="I294" s="18">
        <f t="shared" si="121"/>
        <v>50982</v>
      </c>
    </row>
    <row r="295" spans="1:13" ht="45" x14ac:dyDescent="0.25">
      <c r="A295" s="22">
        <v>278</v>
      </c>
      <c r="B295" s="131" t="s">
        <v>386</v>
      </c>
      <c r="C295" s="39" t="s">
        <v>204</v>
      </c>
      <c r="D295" s="39" t="s">
        <v>142</v>
      </c>
      <c r="E295" s="39" t="s">
        <v>241</v>
      </c>
      <c r="F295" s="111"/>
      <c r="G295" s="18">
        <f>G296</f>
        <v>22966.400000000001</v>
      </c>
      <c r="H295" s="18">
        <f t="shared" ref="H295:I296" si="122">H296</f>
        <v>22274.3</v>
      </c>
      <c r="I295" s="18">
        <f t="shared" si="122"/>
        <v>22274.3</v>
      </c>
      <c r="K295" s="98"/>
      <c r="L295" s="98"/>
      <c r="M295" s="98"/>
    </row>
    <row r="296" spans="1:13" x14ac:dyDescent="0.25">
      <c r="A296" s="48">
        <v>279</v>
      </c>
      <c r="B296" s="81" t="s">
        <v>38</v>
      </c>
      <c r="C296" s="39" t="s">
        <v>204</v>
      </c>
      <c r="D296" s="39" t="s">
        <v>142</v>
      </c>
      <c r="E296" s="39" t="s">
        <v>241</v>
      </c>
      <c r="F296" s="111">
        <v>800</v>
      </c>
      <c r="G296" s="18">
        <f>G297</f>
        <v>22966.400000000001</v>
      </c>
      <c r="H296" s="18">
        <f t="shared" si="122"/>
        <v>22274.3</v>
      </c>
      <c r="I296" s="18">
        <f t="shared" si="122"/>
        <v>22274.3</v>
      </c>
    </row>
    <row r="297" spans="1:13" ht="30" x14ac:dyDescent="0.25">
      <c r="A297" s="22">
        <v>280</v>
      </c>
      <c r="B297" s="81" t="s">
        <v>53</v>
      </c>
      <c r="C297" s="39" t="s">
        <v>204</v>
      </c>
      <c r="D297" s="39" t="s">
        <v>142</v>
      </c>
      <c r="E297" s="39" t="s">
        <v>241</v>
      </c>
      <c r="F297" s="111">
        <v>810</v>
      </c>
      <c r="G297" s="27">
        <f>22333.2+633.2</f>
        <v>22966.400000000001</v>
      </c>
      <c r="H297" s="27">
        <v>22274.3</v>
      </c>
      <c r="I297" s="27">
        <v>22274.3</v>
      </c>
      <c r="J297" s="73">
        <v>633.20000000000005</v>
      </c>
    </row>
    <row r="298" spans="1:13" x14ac:dyDescent="0.25">
      <c r="A298" s="48">
        <v>281</v>
      </c>
      <c r="B298" s="131" t="s">
        <v>362</v>
      </c>
      <c r="C298" s="39" t="s">
        <v>204</v>
      </c>
      <c r="D298" s="39" t="s">
        <v>142</v>
      </c>
      <c r="E298" s="39" t="s">
        <v>242</v>
      </c>
      <c r="F298" s="111"/>
      <c r="G298" s="18">
        <f>G299</f>
        <v>35355.699999999997</v>
      </c>
      <c r="H298" s="18">
        <f t="shared" ref="H298:I299" si="123">H299</f>
        <v>28707.7</v>
      </c>
      <c r="I298" s="18">
        <f t="shared" si="123"/>
        <v>28707.7</v>
      </c>
    </row>
    <row r="299" spans="1:13" x14ac:dyDescent="0.25">
      <c r="A299" s="22">
        <v>282</v>
      </c>
      <c r="B299" s="81" t="s">
        <v>38</v>
      </c>
      <c r="C299" s="39" t="s">
        <v>204</v>
      </c>
      <c r="D299" s="39" t="s">
        <v>142</v>
      </c>
      <c r="E299" s="39" t="s">
        <v>242</v>
      </c>
      <c r="F299" s="111">
        <v>800</v>
      </c>
      <c r="G299" s="18">
        <f>G300</f>
        <v>35355.699999999997</v>
      </c>
      <c r="H299" s="18">
        <f t="shared" si="123"/>
        <v>28707.7</v>
      </c>
      <c r="I299" s="18">
        <f t="shared" si="123"/>
        <v>28707.7</v>
      </c>
    </row>
    <row r="300" spans="1:13" ht="30" x14ac:dyDescent="0.25">
      <c r="A300" s="48">
        <v>283</v>
      </c>
      <c r="B300" s="81" t="s">
        <v>53</v>
      </c>
      <c r="C300" s="39" t="s">
        <v>204</v>
      </c>
      <c r="D300" s="39" t="s">
        <v>142</v>
      </c>
      <c r="E300" s="39" t="s">
        <v>242</v>
      </c>
      <c r="F300" s="111">
        <v>810</v>
      </c>
      <c r="G300" s="27">
        <f>28707.7+6648</f>
        <v>35355.699999999997</v>
      </c>
      <c r="H300" s="27">
        <v>28707.7</v>
      </c>
      <c r="I300" s="27">
        <v>28707.7</v>
      </c>
      <c r="J300" s="73">
        <v>6648</v>
      </c>
    </row>
    <row r="301" spans="1:13" x14ac:dyDescent="0.25">
      <c r="A301" s="22">
        <v>284</v>
      </c>
      <c r="B301" s="57" t="s">
        <v>143</v>
      </c>
      <c r="C301" s="39" t="s">
        <v>204</v>
      </c>
      <c r="D301" s="39" t="s">
        <v>144</v>
      </c>
      <c r="E301" s="111"/>
      <c r="F301" s="111"/>
      <c r="G301" s="18">
        <f>G311+G302</f>
        <v>82419.77</v>
      </c>
      <c r="H301" s="18">
        <f>H302</f>
        <v>1599.1</v>
      </c>
      <c r="I301" s="18">
        <f>I302</f>
        <v>1599.1</v>
      </c>
    </row>
    <row r="302" spans="1:13" x14ac:dyDescent="0.25">
      <c r="A302" s="48">
        <v>285</v>
      </c>
      <c r="B302" s="112" t="s">
        <v>75</v>
      </c>
      <c r="C302" s="39" t="s">
        <v>204</v>
      </c>
      <c r="D302" s="39" t="s">
        <v>147</v>
      </c>
      <c r="E302" s="121"/>
      <c r="F302" s="121"/>
      <c r="G302" s="122">
        <f>G303</f>
        <v>80808.08</v>
      </c>
      <c r="H302" s="18">
        <f>H312</f>
        <v>1599.1</v>
      </c>
      <c r="I302" s="18">
        <f>I312</f>
        <v>1599.1</v>
      </c>
    </row>
    <row r="303" spans="1:13" ht="30" x14ac:dyDescent="0.25">
      <c r="A303" s="22">
        <v>286</v>
      </c>
      <c r="B303" s="112" t="s">
        <v>63</v>
      </c>
      <c r="C303" s="39" t="s">
        <v>204</v>
      </c>
      <c r="D303" s="39" t="s">
        <v>147</v>
      </c>
      <c r="E303" s="39" t="s">
        <v>243</v>
      </c>
      <c r="F303" s="111"/>
      <c r="G303" s="18">
        <f>G304</f>
        <v>80808.08</v>
      </c>
      <c r="H303" s="18">
        <f t="shared" ref="H303:I303" si="124">H304</f>
        <v>0</v>
      </c>
      <c r="I303" s="18">
        <f t="shared" si="124"/>
        <v>0</v>
      </c>
    </row>
    <row r="304" spans="1:13" x14ac:dyDescent="0.25">
      <c r="A304" s="48">
        <v>287</v>
      </c>
      <c r="B304" s="112" t="s">
        <v>165</v>
      </c>
      <c r="C304" s="39" t="s">
        <v>204</v>
      </c>
      <c r="D304" s="39" t="s">
        <v>147</v>
      </c>
      <c r="E304" s="39" t="s">
        <v>258</v>
      </c>
      <c r="F304" s="111"/>
      <c r="G304" s="18">
        <f>G305+G308</f>
        <v>80808.08</v>
      </c>
      <c r="H304" s="18">
        <f t="shared" ref="H304:I304" si="125">H305+H308</f>
        <v>0</v>
      </c>
      <c r="I304" s="18">
        <f t="shared" si="125"/>
        <v>0</v>
      </c>
    </row>
    <row r="305" spans="1:10" ht="60" x14ac:dyDescent="0.25">
      <c r="A305" s="22">
        <v>288</v>
      </c>
      <c r="B305" s="81" t="s">
        <v>450</v>
      </c>
      <c r="C305" s="39" t="s">
        <v>204</v>
      </c>
      <c r="D305" s="39" t="s">
        <v>147</v>
      </c>
      <c r="E305" s="39" t="s">
        <v>451</v>
      </c>
      <c r="F305" s="111"/>
      <c r="G305" s="18">
        <f>G306</f>
        <v>80000</v>
      </c>
      <c r="H305" s="18">
        <f t="shared" ref="H305:I305" si="126">H306</f>
        <v>0</v>
      </c>
      <c r="I305" s="18">
        <f t="shared" si="126"/>
        <v>0</v>
      </c>
    </row>
    <row r="306" spans="1:10" ht="30" x14ac:dyDescent="0.25">
      <c r="A306" s="48">
        <v>289</v>
      </c>
      <c r="B306" s="80" t="s">
        <v>210</v>
      </c>
      <c r="C306" s="39" t="s">
        <v>204</v>
      </c>
      <c r="D306" s="39" t="s">
        <v>147</v>
      </c>
      <c r="E306" s="39" t="s">
        <v>451</v>
      </c>
      <c r="F306" s="111">
        <v>400</v>
      </c>
      <c r="G306" s="18">
        <v>80000</v>
      </c>
      <c r="H306" s="18">
        <v>0</v>
      </c>
      <c r="I306" s="18">
        <v>0</v>
      </c>
      <c r="J306" s="99"/>
    </row>
    <row r="307" spans="1:10" x14ac:dyDescent="0.25">
      <c r="A307" s="22">
        <v>290</v>
      </c>
      <c r="B307" s="80" t="s">
        <v>211</v>
      </c>
      <c r="C307" s="39" t="s">
        <v>204</v>
      </c>
      <c r="D307" s="39" t="s">
        <v>147</v>
      </c>
      <c r="E307" s="39" t="s">
        <v>451</v>
      </c>
      <c r="F307" s="111">
        <v>410</v>
      </c>
      <c r="G307" s="18">
        <v>80000</v>
      </c>
      <c r="H307" s="18">
        <v>0</v>
      </c>
      <c r="I307" s="18">
        <v>0</v>
      </c>
    </row>
    <row r="308" spans="1:10" x14ac:dyDescent="0.25">
      <c r="A308" s="48">
        <v>291</v>
      </c>
      <c r="B308" s="80" t="s">
        <v>452</v>
      </c>
      <c r="C308" s="39" t="s">
        <v>204</v>
      </c>
      <c r="D308" s="39" t="s">
        <v>147</v>
      </c>
      <c r="E308" s="39" t="s">
        <v>453</v>
      </c>
      <c r="F308" s="111"/>
      <c r="G308" s="18">
        <f>G309</f>
        <v>808.08</v>
      </c>
      <c r="H308" s="18"/>
      <c r="I308" s="18"/>
    </row>
    <row r="309" spans="1:10" ht="30" x14ac:dyDescent="0.25">
      <c r="A309" s="22">
        <v>292</v>
      </c>
      <c r="B309" s="80" t="s">
        <v>210</v>
      </c>
      <c r="C309" s="39" t="s">
        <v>204</v>
      </c>
      <c r="D309" s="39" t="s">
        <v>147</v>
      </c>
      <c r="E309" s="39" t="s">
        <v>453</v>
      </c>
      <c r="F309" s="111">
        <v>400</v>
      </c>
      <c r="G309" s="18">
        <f>G310</f>
        <v>808.08</v>
      </c>
      <c r="H309" s="18">
        <f>H310</f>
        <v>0</v>
      </c>
      <c r="I309" s="18">
        <f>I310</f>
        <v>0</v>
      </c>
    </row>
    <row r="310" spans="1:10" x14ac:dyDescent="0.25">
      <c r="A310" s="48">
        <v>293</v>
      </c>
      <c r="B310" s="80" t="s">
        <v>211</v>
      </c>
      <c r="C310" s="39" t="s">
        <v>204</v>
      </c>
      <c r="D310" s="39" t="s">
        <v>147</v>
      </c>
      <c r="E310" s="39" t="s">
        <v>453</v>
      </c>
      <c r="F310" s="111">
        <v>410</v>
      </c>
      <c r="G310" s="18">
        <v>808.08</v>
      </c>
      <c r="H310" s="18">
        <v>0</v>
      </c>
      <c r="I310" s="18">
        <v>0</v>
      </c>
    </row>
    <row r="311" spans="1:10" x14ac:dyDescent="0.25">
      <c r="A311" s="22">
        <v>294</v>
      </c>
      <c r="B311" s="81" t="s">
        <v>62</v>
      </c>
      <c r="C311" s="39" t="s">
        <v>204</v>
      </c>
      <c r="D311" s="39" t="s">
        <v>149</v>
      </c>
      <c r="E311" s="111"/>
      <c r="F311" s="111"/>
      <c r="G311" s="18">
        <f>G312</f>
        <v>1611.6899999999998</v>
      </c>
      <c r="H311" s="18"/>
      <c r="I311" s="18"/>
    </row>
    <row r="312" spans="1:10" ht="30" x14ac:dyDescent="0.25">
      <c r="A312" s="48">
        <v>295</v>
      </c>
      <c r="B312" s="112" t="s">
        <v>63</v>
      </c>
      <c r="C312" s="39" t="s">
        <v>204</v>
      </c>
      <c r="D312" s="39" t="s">
        <v>149</v>
      </c>
      <c r="E312" s="39" t="s">
        <v>243</v>
      </c>
      <c r="F312" s="111"/>
      <c r="G312" s="18">
        <f>G313</f>
        <v>1611.6899999999998</v>
      </c>
      <c r="H312" s="18">
        <f t="shared" ref="H312:I313" si="127">H313</f>
        <v>1599.1</v>
      </c>
      <c r="I312" s="18">
        <f t="shared" si="127"/>
        <v>1599.1</v>
      </c>
    </row>
    <row r="313" spans="1:10" x14ac:dyDescent="0.25">
      <c r="A313" s="22">
        <v>296</v>
      </c>
      <c r="B313" s="112" t="s">
        <v>64</v>
      </c>
      <c r="C313" s="39" t="s">
        <v>204</v>
      </c>
      <c r="D313" s="39" t="s">
        <v>149</v>
      </c>
      <c r="E313" s="39" t="s">
        <v>244</v>
      </c>
      <c r="F313" s="111"/>
      <c r="G313" s="18">
        <f>G314</f>
        <v>1611.6899999999998</v>
      </c>
      <c r="H313" s="18">
        <f t="shared" si="127"/>
        <v>1599.1</v>
      </c>
      <c r="I313" s="18">
        <f t="shared" si="127"/>
        <v>1599.1</v>
      </c>
    </row>
    <row r="314" spans="1:10" ht="45" x14ac:dyDescent="0.25">
      <c r="A314" s="48">
        <v>297</v>
      </c>
      <c r="B314" s="114" t="s">
        <v>190</v>
      </c>
      <c r="C314" s="39" t="s">
        <v>204</v>
      </c>
      <c r="D314" s="39" t="s">
        <v>149</v>
      </c>
      <c r="E314" s="39" t="s">
        <v>245</v>
      </c>
      <c r="F314" s="111"/>
      <c r="G314" s="18">
        <f>G315+G317</f>
        <v>1611.6899999999998</v>
      </c>
      <c r="H314" s="18">
        <f>H315+H317</f>
        <v>1599.1</v>
      </c>
      <c r="I314" s="18">
        <f>I315+I317</f>
        <v>1599.1</v>
      </c>
    </row>
    <row r="315" spans="1:10" ht="45" x14ac:dyDescent="0.25">
      <c r="A315" s="22">
        <v>298</v>
      </c>
      <c r="B315" s="81" t="s">
        <v>17</v>
      </c>
      <c r="C315" s="39" t="s">
        <v>204</v>
      </c>
      <c r="D315" s="39" t="s">
        <v>149</v>
      </c>
      <c r="E315" s="39" t="s">
        <v>245</v>
      </c>
      <c r="F315" s="111">
        <v>100</v>
      </c>
      <c r="G315" s="18">
        <f>G316</f>
        <v>1233.4199999999998</v>
      </c>
      <c r="H315" s="18">
        <f t="shared" ref="H315:I315" si="128">H316</f>
        <v>1220.83</v>
      </c>
      <c r="I315" s="18">
        <f t="shared" si="128"/>
        <v>1220.83</v>
      </c>
    </row>
    <row r="316" spans="1:10" x14ac:dyDescent="0.25">
      <c r="A316" s="48">
        <v>299</v>
      </c>
      <c r="B316" s="81" t="s">
        <v>18</v>
      </c>
      <c r="C316" s="39" t="s">
        <v>204</v>
      </c>
      <c r="D316" s="39" t="s">
        <v>149</v>
      </c>
      <c r="E316" s="39" t="s">
        <v>245</v>
      </c>
      <c r="F316" s="111">
        <v>120</v>
      </c>
      <c r="G316" s="18">
        <f>1220.83+12.59</f>
        <v>1233.4199999999998</v>
      </c>
      <c r="H316" s="18">
        <v>1220.83</v>
      </c>
      <c r="I316" s="18">
        <v>1220.83</v>
      </c>
    </row>
    <row r="317" spans="1:10" x14ac:dyDescent="0.25">
      <c r="A317" s="22">
        <v>300</v>
      </c>
      <c r="B317" s="81" t="s">
        <v>23</v>
      </c>
      <c r="C317" s="39" t="s">
        <v>204</v>
      </c>
      <c r="D317" s="39" t="s">
        <v>149</v>
      </c>
      <c r="E317" s="39" t="s">
        <v>245</v>
      </c>
      <c r="F317" s="111">
        <v>200</v>
      </c>
      <c r="G317" s="18">
        <f>G318</f>
        <v>378.27</v>
      </c>
      <c r="H317" s="18">
        <f t="shared" ref="H317:I317" si="129">H318</f>
        <v>378.27</v>
      </c>
      <c r="I317" s="18">
        <f t="shared" si="129"/>
        <v>378.27</v>
      </c>
    </row>
    <row r="318" spans="1:10" x14ac:dyDescent="0.25">
      <c r="A318" s="48">
        <v>301</v>
      </c>
      <c r="B318" s="81" t="s">
        <v>24</v>
      </c>
      <c r="C318" s="39" t="s">
        <v>204</v>
      </c>
      <c r="D318" s="39" t="s">
        <v>149</v>
      </c>
      <c r="E318" s="39" t="s">
        <v>245</v>
      </c>
      <c r="F318" s="111">
        <v>240</v>
      </c>
      <c r="G318" s="18">
        <v>378.27</v>
      </c>
      <c r="H318" s="18">
        <v>378.27</v>
      </c>
      <c r="I318" s="18">
        <v>378.27</v>
      </c>
    </row>
    <row r="319" spans="1:10" x14ac:dyDescent="0.25">
      <c r="A319" s="22">
        <v>302</v>
      </c>
      <c r="B319" s="57" t="s">
        <v>154</v>
      </c>
      <c r="C319" s="39" t="s">
        <v>204</v>
      </c>
      <c r="D319" s="39" t="s">
        <v>155</v>
      </c>
      <c r="E319" s="111"/>
      <c r="F319" s="111"/>
      <c r="G319" s="18">
        <f>G320+G326+G332</f>
        <v>16626.580000000002</v>
      </c>
      <c r="H319" s="18">
        <f t="shared" ref="H319:I319" si="130">H320+H326</f>
        <v>11912.6</v>
      </c>
      <c r="I319" s="18">
        <f t="shared" si="130"/>
        <v>11182.599999999999</v>
      </c>
    </row>
    <row r="320" spans="1:10" x14ac:dyDescent="0.25">
      <c r="A320" s="48">
        <v>303</v>
      </c>
      <c r="B320" s="81" t="s">
        <v>103</v>
      </c>
      <c r="C320" s="39" t="s">
        <v>204</v>
      </c>
      <c r="D320" s="39" t="s">
        <v>158</v>
      </c>
      <c r="E320" s="111"/>
      <c r="F320" s="111"/>
      <c r="G320" s="18">
        <f t="shared" ref="G320:G324" si="131">G321</f>
        <v>2261.08</v>
      </c>
      <c r="H320" s="18">
        <f t="shared" ref="H320:I323" si="132">H321</f>
        <v>730</v>
      </c>
      <c r="I320" s="18">
        <f t="shared" si="132"/>
        <v>0</v>
      </c>
    </row>
    <row r="321" spans="1:10" ht="30" x14ac:dyDescent="0.25">
      <c r="A321" s="22">
        <v>304</v>
      </c>
      <c r="B321" s="117" t="s">
        <v>66</v>
      </c>
      <c r="C321" s="39" t="s">
        <v>204</v>
      </c>
      <c r="D321" s="39" t="s">
        <v>158</v>
      </c>
      <c r="E321" s="111">
        <v>1100000000</v>
      </c>
      <c r="F321" s="111"/>
      <c r="G321" s="18">
        <f t="shared" si="131"/>
        <v>2261.08</v>
      </c>
      <c r="H321" s="18">
        <f t="shared" si="132"/>
        <v>730</v>
      </c>
      <c r="I321" s="18">
        <f t="shared" si="132"/>
        <v>0</v>
      </c>
    </row>
    <row r="322" spans="1:10" x14ac:dyDescent="0.25">
      <c r="A322" s="48">
        <v>305</v>
      </c>
      <c r="B322" s="117" t="s">
        <v>171</v>
      </c>
      <c r="C322" s="39" t="s">
        <v>204</v>
      </c>
      <c r="D322" s="39" t="s">
        <v>158</v>
      </c>
      <c r="E322" s="111">
        <v>1120000000</v>
      </c>
      <c r="F322" s="111"/>
      <c r="G322" s="18">
        <f t="shared" si="131"/>
        <v>2261.08</v>
      </c>
      <c r="H322" s="18">
        <f t="shared" si="132"/>
        <v>730</v>
      </c>
      <c r="I322" s="18">
        <f t="shared" si="132"/>
        <v>0</v>
      </c>
    </row>
    <row r="323" spans="1:10" x14ac:dyDescent="0.25">
      <c r="A323" s="22">
        <v>306</v>
      </c>
      <c r="B323" s="112" t="s">
        <v>178</v>
      </c>
      <c r="C323" s="39" t="s">
        <v>204</v>
      </c>
      <c r="D323" s="39" t="s">
        <v>158</v>
      </c>
      <c r="E323" s="111" t="s">
        <v>363</v>
      </c>
      <c r="F323" s="111"/>
      <c r="G323" s="18">
        <f t="shared" si="131"/>
        <v>2261.08</v>
      </c>
      <c r="H323" s="18">
        <f t="shared" si="132"/>
        <v>730</v>
      </c>
      <c r="I323" s="18">
        <f t="shared" si="132"/>
        <v>0</v>
      </c>
    </row>
    <row r="324" spans="1:10" x14ac:dyDescent="0.25">
      <c r="A324" s="48">
        <v>307</v>
      </c>
      <c r="B324" s="81" t="s">
        <v>98</v>
      </c>
      <c r="C324" s="39" t="s">
        <v>204</v>
      </c>
      <c r="D324" s="39" t="s">
        <v>158</v>
      </c>
      <c r="E324" s="111" t="s">
        <v>363</v>
      </c>
      <c r="F324" s="111">
        <v>300</v>
      </c>
      <c r="G324" s="18">
        <f t="shared" si="131"/>
        <v>2261.08</v>
      </c>
      <c r="H324" s="18">
        <f t="shared" ref="H324:I324" si="133">H325</f>
        <v>730</v>
      </c>
      <c r="I324" s="18">
        <f t="shared" si="133"/>
        <v>0</v>
      </c>
    </row>
    <row r="325" spans="1:10" x14ac:dyDescent="0.25">
      <c r="A325" s="22">
        <v>308</v>
      </c>
      <c r="B325" s="81" t="s">
        <v>111</v>
      </c>
      <c r="C325" s="39" t="s">
        <v>204</v>
      </c>
      <c r="D325" s="39" t="s">
        <v>158</v>
      </c>
      <c r="E325" s="111" t="s">
        <v>363</v>
      </c>
      <c r="F325" s="111">
        <v>320</v>
      </c>
      <c r="G325" s="18">
        <f>386+180+1695.08</f>
        <v>2261.08</v>
      </c>
      <c r="H325" s="18">
        <v>730</v>
      </c>
      <c r="I325" s="18">
        <v>0</v>
      </c>
    </row>
    <row r="326" spans="1:10" x14ac:dyDescent="0.25">
      <c r="A326" s="48">
        <v>309</v>
      </c>
      <c r="B326" s="28" t="s">
        <v>67</v>
      </c>
      <c r="C326" s="39" t="s">
        <v>204</v>
      </c>
      <c r="D326" s="23" t="s">
        <v>223</v>
      </c>
      <c r="E326" s="22"/>
      <c r="F326" s="22"/>
      <c r="G326" s="18">
        <f>G327</f>
        <v>14189.1</v>
      </c>
      <c r="H326" s="18">
        <f t="shared" ref="H326:I329" si="134">H327</f>
        <v>11182.6</v>
      </c>
      <c r="I326" s="18">
        <f t="shared" si="134"/>
        <v>11182.599999999999</v>
      </c>
    </row>
    <row r="327" spans="1:10" ht="30" x14ac:dyDescent="0.25">
      <c r="A327" s="22">
        <v>310</v>
      </c>
      <c r="B327" s="117" t="s">
        <v>66</v>
      </c>
      <c r="C327" s="39" t="s">
        <v>204</v>
      </c>
      <c r="D327" s="23" t="s">
        <v>223</v>
      </c>
      <c r="E327" s="22">
        <v>1100000000</v>
      </c>
      <c r="F327" s="22"/>
      <c r="G327" s="18">
        <f>G328</f>
        <v>14189.1</v>
      </c>
      <c r="H327" s="18">
        <f t="shared" si="134"/>
        <v>11182.6</v>
      </c>
      <c r="I327" s="18">
        <f t="shared" si="134"/>
        <v>11182.599999999999</v>
      </c>
    </row>
    <row r="328" spans="1:10" ht="30" x14ac:dyDescent="0.25">
      <c r="A328" s="48">
        <v>311</v>
      </c>
      <c r="B328" s="112" t="s">
        <v>209</v>
      </c>
      <c r="C328" s="39" t="s">
        <v>204</v>
      </c>
      <c r="D328" s="23" t="s">
        <v>223</v>
      </c>
      <c r="E328" s="22">
        <v>1150000000</v>
      </c>
      <c r="F328" s="22"/>
      <c r="G328" s="18">
        <f>G329</f>
        <v>14189.1</v>
      </c>
      <c r="H328" s="18">
        <f t="shared" si="134"/>
        <v>11182.6</v>
      </c>
      <c r="I328" s="18">
        <f t="shared" si="134"/>
        <v>11182.599999999999</v>
      </c>
    </row>
    <row r="329" spans="1:10" ht="60" x14ac:dyDescent="0.25">
      <c r="A329" s="22">
        <v>312</v>
      </c>
      <c r="B329" s="130" t="s">
        <v>68</v>
      </c>
      <c r="C329" s="39" t="s">
        <v>204</v>
      </c>
      <c r="D329" s="23" t="s">
        <v>223</v>
      </c>
      <c r="E329" s="22">
        <v>1150075870</v>
      </c>
      <c r="F329" s="22"/>
      <c r="G329" s="18">
        <f>G330</f>
        <v>14189.1</v>
      </c>
      <c r="H329" s="18">
        <f t="shared" si="134"/>
        <v>11182.6</v>
      </c>
      <c r="I329" s="18">
        <f t="shared" si="134"/>
        <v>11182.599999999999</v>
      </c>
    </row>
    <row r="330" spans="1:10" ht="30" x14ac:dyDescent="0.25">
      <c r="A330" s="48">
        <v>313</v>
      </c>
      <c r="B330" s="80" t="s">
        <v>210</v>
      </c>
      <c r="C330" s="39" t="s">
        <v>204</v>
      </c>
      <c r="D330" s="23" t="s">
        <v>223</v>
      </c>
      <c r="E330" s="22">
        <v>1150075870</v>
      </c>
      <c r="F330" s="22">
        <v>400</v>
      </c>
      <c r="G330" s="18">
        <f>G331</f>
        <v>14189.1</v>
      </c>
      <c r="H330" s="18">
        <f t="shared" ref="H330:I330" si="135">H331</f>
        <v>11182.6</v>
      </c>
      <c r="I330" s="18">
        <f t="shared" si="135"/>
        <v>11182.599999999999</v>
      </c>
    </row>
    <row r="331" spans="1:10" x14ac:dyDescent="0.25">
      <c r="A331" s="22">
        <v>314</v>
      </c>
      <c r="B331" s="80" t="s">
        <v>211</v>
      </c>
      <c r="C331" s="39" t="s">
        <v>204</v>
      </c>
      <c r="D331" s="23" t="s">
        <v>223</v>
      </c>
      <c r="E331" s="22">
        <v>1150075870</v>
      </c>
      <c r="F331" s="22">
        <v>410</v>
      </c>
      <c r="G331" s="18">
        <f>5591.3+1397.8+7200</f>
        <v>14189.1</v>
      </c>
      <c r="H331" s="18">
        <v>11182.6</v>
      </c>
      <c r="I331" s="18">
        <f>8386.9+2795.7</f>
        <v>11182.599999999999</v>
      </c>
      <c r="J331" s="73">
        <v>7200</v>
      </c>
    </row>
    <row r="332" spans="1:10" x14ac:dyDescent="0.25">
      <c r="A332" s="48">
        <v>315</v>
      </c>
      <c r="B332" s="34" t="s">
        <v>106</v>
      </c>
      <c r="C332" s="39" t="s">
        <v>204</v>
      </c>
      <c r="D332" s="23" t="s">
        <v>159</v>
      </c>
      <c r="E332" s="22"/>
      <c r="F332" s="22"/>
      <c r="G332" s="18">
        <f>G333</f>
        <v>176.4</v>
      </c>
      <c r="H332" s="18"/>
      <c r="I332" s="18"/>
    </row>
    <row r="333" spans="1:10" x14ac:dyDescent="0.25">
      <c r="A333" s="22">
        <v>316</v>
      </c>
      <c r="B333" s="80" t="s">
        <v>343</v>
      </c>
      <c r="C333" s="39" t="s">
        <v>204</v>
      </c>
      <c r="D333" s="39" t="s">
        <v>159</v>
      </c>
      <c r="E333" s="39" t="s">
        <v>346</v>
      </c>
      <c r="F333" s="22"/>
      <c r="G333" s="18">
        <f>G334</f>
        <v>176.4</v>
      </c>
      <c r="H333" s="18"/>
      <c r="I333" s="18"/>
    </row>
    <row r="334" spans="1:10" x14ac:dyDescent="0.25">
      <c r="A334" s="48">
        <v>317</v>
      </c>
      <c r="B334" s="80" t="s">
        <v>344</v>
      </c>
      <c r="C334" s="39" t="s">
        <v>204</v>
      </c>
      <c r="D334" s="39" t="s">
        <v>159</v>
      </c>
      <c r="E334" s="39" t="s">
        <v>347</v>
      </c>
      <c r="F334" s="22"/>
      <c r="G334" s="18">
        <f>G335</f>
        <v>176.4</v>
      </c>
      <c r="H334" s="18"/>
      <c r="I334" s="18"/>
    </row>
    <row r="335" spans="1:10" ht="30" x14ac:dyDescent="0.25">
      <c r="A335" s="22">
        <v>318</v>
      </c>
      <c r="B335" s="80" t="s">
        <v>565</v>
      </c>
      <c r="C335" s="39" t="s">
        <v>204</v>
      </c>
      <c r="D335" s="39" t="s">
        <v>159</v>
      </c>
      <c r="E335" s="39" t="s">
        <v>566</v>
      </c>
      <c r="F335" s="22"/>
      <c r="G335" s="18">
        <f>G336+G338</f>
        <v>176.4</v>
      </c>
      <c r="H335" s="18"/>
      <c r="I335" s="18"/>
    </row>
    <row r="336" spans="1:10" ht="45" x14ac:dyDescent="0.25">
      <c r="A336" s="48">
        <v>319</v>
      </c>
      <c r="B336" s="81" t="s">
        <v>17</v>
      </c>
      <c r="C336" s="39" t="s">
        <v>204</v>
      </c>
      <c r="D336" s="39" t="s">
        <v>159</v>
      </c>
      <c r="E336" s="39" t="s">
        <v>566</v>
      </c>
      <c r="F336" s="22">
        <v>100</v>
      </c>
      <c r="G336" s="18">
        <f>G337</f>
        <v>146.4</v>
      </c>
      <c r="H336" s="18"/>
      <c r="I336" s="18"/>
    </row>
    <row r="337" spans="1:10" x14ac:dyDescent="0.25">
      <c r="A337" s="22">
        <v>320</v>
      </c>
      <c r="B337" s="81" t="s">
        <v>18</v>
      </c>
      <c r="C337" s="39" t="s">
        <v>204</v>
      </c>
      <c r="D337" s="39" t="s">
        <v>159</v>
      </c>
      <c r="E337" s="39" t="s">
        <v>566</v>
      </c>
      <c r="F337" s="22">
        <v>120</v>
      </c>
      <c r="G337" s="18">
        <v>146.4</v>
      </c>
      <c r="H337" s="18">
        <v>0</v>
      </c>
      <c r="I337" s="18">
        <v>0</v>
      </c>
      <c r="J337" s="73">
        <v>146.4</v>
      </c>
    </row>
    <row r="338" spans="1:10" x14ac:dyDescent="0.25">
      <c r="A338" s="48">
        <v>321</v>
      </c>
      <c r="B338" s="81" t="s">
        <v>23</v>
      </c>
      <c r="C338" s="39" t="s">
        <v>204</v>
      </c>
      <c r="D338" s="39" t="s">
        <v>159</v>
      </c>
      <c r="E338" s="39" t="s">
        <v>566</v>
      </c>
      <c r="F338" s="22">
        <v>200</v>
      </c>
      <c r="G338" s="18">
        <f>G339</f>
        <v>30</v>
      </c>
      <c r="H338" s="18"/>
      <c r="I338" s="18"/>
    </row>
    <row r="339" spans="1:10" x14ac:dyDescent="0.25">
      <c r="A339" s="22">
        <v>322</v>
      </c>
      <c r="B339" s="81" t="s">
        <v>24</v>
      </c>
      <c r="C339" s="39" t="s">
        <v>204</v>
      </c>
      <c r="D339" s="39" t="s">
        <v>159</v>
      </c>
      <c r="E339" s="39" t="s">
        <v>566</v>
      </c>
      <c r="F339" s="22">
        <v>240</v>
      </c>
      <c r="G339" s="18">
        <v>30</v>
      </c>
      <c r="H339" s="18">
        <v>0</v>
      </c>
      <c r="I339" s="18">
        <v>0</v>
      </c>
      <c r="J339" s="73">
        <v>30</v>
      </c>
    </row>
    <row r="340" spans="1:10" ht="36" customHeight="1" x14ac:dyDescent="0.25">
      <c r="A340" s="48">
        <v>323</v>
      </c>
      <c r="B340" s="55" t="s">
        <v>308</v>
      </c>
      <c r="C340" s="51" t="s">
        <v>204</v>
      </c>
      <c r="D340" s="46"/>
      <c r="E340" s="46"/>
      <c r="F340" s="46"/>
      <c r="G340" s="47">
        <f>G341</f>
        <v>4694.09</v>
      </c>
      <c r="H340" s="47">
        <f t="shared" ref="H340:I343" si="136">H341</f>
        <v>4016.12</v>
      </c>
      <c r="I340" s="47">
        <f t="shared" si="136"/>
        <v>4100.12</v>
      </c>
    </row>
    <row r="341" spans="1:10" x14ac:dyDescent="0.25">
      <c r="A341" s="22">
        <v>324</v>
      </c>
      <c r="B341" s="75" t="s">
        <v>128</v>
      </c>
      <c r="C341" s="29" t="s">
        <v>204</v>
      </c>
      <c r="D341" s="39" t="s">
        <v>129</v>
      </c>
      <c r="E341" s="111"/>
      <c r="F341" s="111"/>
      <c r="G341" s="18">
        <f>G342</f>
        <v>4694.09</v>
      </c>
      <c r="H341" s="18">
        <f t="shared" si="136"/>
        <v>4016.12</v>
      </c>
      <c r="I341" s="18">
        <f t="shared" si="136"/>
        <v>4100.12</v>
      </c>
    </row>
    <row r="342" spans="1:10" ht="30" x14ac:dyDescent="0.25">
      <c r="A342" s="48">
        <v>325</v>
      </c>
      <c r="B342" s="81" t="s">
        <v>91</v>
      </c>
      <c r="C342" s="29" t="s">
        <v>204</v>
      </c>
      <c r="D342" s="39" t="s">
        <v>130</v>
      </c>
      <c r="E342" s="111"/>
      <c r="F342" s="111"/>
      <c r="G342" s="18">
        <f>G343</f>
        <v>4694.09</v>
      </c>
      <c r="H342" s="18">
        <f t="shared" si="136"/>
        <v>4016.12</v>
      </c>
      <c r="I342" s="18">
        <f t="shared" si="136"/>
        <v>4100.12</v>
      </c>
    </row>
    <row r="343" spans="1:10" ht="30" x14ac:dyDescent="0.25">
      <c r="A343" s="22">
        <v>326</v>
      </c>
      <c r="B343" s="112" t="s">
        <v>188</v>
      </c>
      <c r="C343" s="29" t="s">
        <v>204</v>
      </c>
      <c r="D343" s="39" t="s">
        <v>130</v>
      </c>
      <c r="E343" s="39" t="s">
        <v>246</v>
      </c>
      <c r="F343" s="111"/>
      <c r="G343" s="18">
        <f>G344</f>
        <v>4694.09</v>
      </c>
      <c r="H343" s="18">
        <f t="shared" si="136"/>
        <v>4016.12</v>
      </c>
      <c r="I343" s="18">
        <f t="shared" si="136"/>
        <v>4100.12</v>
      </c>
    </row>
    <row r="344" spans="1:10" ht="30" x14ac:dyDescent="0.25">
      <c r="A344" s="48">
        <v>327</v>
      </c>
      <c r="B344" s="76" t="s">
        <v>387</v>
      </c>
      <c r="C344" s="29" t="s">
        <v>204</v>
      </c>
      <c r="D344" s="39" t="s">
        <v>130</v>
      </c>
      <c r="E344" s="39" t="s">
        <v>247</v>
      </c>
      <c r="F344" s="111"/>
      <c r="G344" s="18">
        <f>G345+G358+G361+G355+G352</f>
        <v>4694.09</v>
      </c>
      <c r="H344" s="18">
        <f t="shared" ref="H344:I344" si="137">H345+H358+H361+H355+H352</f>
        <v>4016.12</v>
      </c>
      <c r="I344" s="18">
        <f t="shared" si="137"/>
        <v>4100.12</v>
      </c>
    </row>
    <row r="345" spans="1:10" ht="45" x14ac:dyDescent="0.25">
      <c r="A345" s="22">
        <v>328</v>
      </c>
      <c r="B345" s="112" t="s">
        <v>92</v>
      </c>
      <c r="C345" s="29" t="s">
        <v>204</v>
      </c>
      <c r="D345" s="39" t="s">
        <v>130</v>
      </c>
      <c r="E345" s="39" t="s">
        <v>388</v>
      </c>
      <c r="F345" s="111"/>
      <c r="G345" s="18">
        <f>G346+G348+G350</f>
        <v>4310.12</v>
      </c>
      <c r="H345" s="18">
        <f>H346+H348+H350</f>
        <v>4007.12</v>
      </c>
      <c r="I345" s="18">
        <f t="shared" ref="I345" si="138">I346+I348+I350</f>
        <v>4007.12</v>
      </c>
    </row>
    <row r="346" spans="1:10" ht="45" x14ac:dyDescent="0.25">
      <c r="A346" s="48">
        <v>329</v>
      </c>
      <c r="B346" s="81" t="s">
        <v>17</v>
      </c>
      <c r="C346" s="29" t="s">
        <v>204</v>
      </c>
      <c r="D346" s="39" t="s">
        <v>130</v>
      </c>
      <c r="E346" s="39" t="s">
        <v>388</v>
      </c>
      <c r="F346" s="111">
        <v>100</v>
      </c>
      <c r="G346" s="18">
        <f>G347</f>
        <v>3638.09</v>
      </c>
      <c r="H346" s="18">
        <f t="shared" ref="H346:I346" si="139">H347</f>
        <v>3638.09</v>
      </c>
      <c r="I346" s="18">
        <f t="shared" si="139"/>
        <v>3638.09</v>
      </c>
    </row>
    <row r="347" spans="1:10" x14ac:dyDescent="0.25">
      <c r="A347" s="22">
        <v>330</v>
      </c>
      <c r="B347" s="81" t="s">
        <v>73</v>
      </c>
      <c r="C347" s="29" t="s">
        <v>204</v>
      </c>
      <c r="D347" s="39" t="s">
        <v>130</v>
      </c>
      <c r="E347" s="39" t="s">
        <v>388</v>
      </c>
      <c r="F347" s="111">
        <v>110</v>
      </c>
      <c r="G347" s="18">
        <v>3638.09</v>
      </c>
      <c r="H347" s="18">
        <v>3638.09</v>
      </c>
      <c r="I347" s="18">
        <v>3638.09</v>
      </c>
    </row>
    <row r="348" spans="1:10" x14ac:dyDescent="0.25">
      <c r="A348" s="48">
        <v>331</v>
      </c>
      <c r="B348" s="81" t="s">
        <v>23</v>
      </c>
      <c r="C348" s="29" t="s">
        <v>204</v>
      </c>
      <c r="D348" s="39" t="s">
        <v>130</v>
      </c>
      <c r="E348" s="39" t="s">
        <v>388</v>
      </c>
      <c r="F348" s="111">
        <v>200</v>
      </c>
      <c r="G348" s="18">
        <f>G349</f>
        <v>671.53</v>
      </c>
      <c r="H348" s="18">
        <f t="shared" ref="H348:I348" si="140">H349</f>
        <v>368.53</v>
      </c>
      <c r="I348" s="18">
        <f t="shared" si="140"/>
        <v>368.53</v>
      </c>
    </row>
    <row r="349" spans="1:10" x14ac:dyDescent="0.25">
      <c r="A349" s="22">
        <v>332</v>
      </c>
      <c r="B349" s="81" t="s">
        <v>24</v>
      </c>
      <c r="C349" s="29" t="s">
        <v>204</v>
      </c>
      <c r="D349" s="39" t="s">
        <v>130</v>
      </c>
      <c r="E349" s="39" t="s">
        <v>388</v>
      </c>
      <c r="F349" s="111">
        <v>240</v>
      </c>
      <c r="G349" s="18">
        <f>368.53+403-100</f>
        <v>671.53</v>
      </c>
      <c r="H349" s="18">
        <v>368.53</v>
      </c>
      <c r="I349" s="18">
        <v>368.53</v>
      </c>
    </row>
    <row r="350" spans="1:10" x14ac:dyDescent="0.25">
      <c r="A350" s="48">
        <v>333</v>
      </c>
      <c r="B350" s="81" t="s">
        <v>38</v>
      </c>
      <c r="C350" s="29" t="s">
        <v>204</v>
      </c>
      <c r="D350" s="39" t="s">
        <v>130</v>
      </c>
      <c r="E350" s="39" t="s">
        <v>388</v>
      </c>
      <c r="F350" s="111">
        <v>800</v>
      </c>
      <c r="G350" s="18">
        <f>G351</f>
        <v>0.5</v>
      </c>
      <c r="H350" s="18">
        <f t="shared" ref="H350:I350" si="141">H351</f>
        <v>0.5</v>
      </c>
      <c r="I350" s="18">
        <f t="shared" si="141"/>
        <v>0.5</v>
      </c>
    </row>
    <row r="351" spans="1:10" x14ac:dyDescent="0.25">
      <c r="A351" s="22">
        <v>334</v>
      </c>
      <c r="B351" s="81" t="s">
        <v>108</v>
      </c>
      <c r="C351" s="29" t="s">
        <v>204</v>
      </c>
      <c r="D351" s="39" t="s">
        <v>130</v>
      </c>
      <c r="E351" s="39" t="s">
        <v>388</v>
      </c>
      <c r="F351" s="111">
        <v>850</v>
      </c>
      <c r="G351" s="18">
        <v>0.5</v>
      </c>
      <c r="H351" s="18">
        <v>0.5</v>
      </c>
      <c r="I351" s="18">
        <v>0.5</v>
      </c>
    </row>
    <row r="352" spans="1:10" ht="30" x14ac:dyDescent="0.25">
      <c r="A352" s="48">
        <v>335</v>
      </c>
      <c r="B352" s="129" t="s">
        <v>443</v>
      </c>
      <c r="C352" s="29" t="s">
        <v>204</v>
      </c>
      <c r="D352" s="39" t="s">
        <v>130</v>
      </c>
      <c r="E352" s="39" t="s">
        <v>562</v>
      </c>
      <c r="F352" s="128"/>
      <c r="G352" s="18">
        <f>G353</f>
        <v>45.42</v>
      </c>
      <c r="H352" s="18">
        <f t="shared" ref="H352:I353" si="142">H353</f>
        <v>0</v>
      </c>
      <c r="I352" s="18">
        <f t="shared" si="142"/>
        <v>0</v>
      </c>
    </row>
    <row r="353" spans="1:10" ht="45" x14ac:dyDescent="0.25">
      <c r="A353" s="22">
        <v>336</v>
      </c>
      <c r="B353" s="81" t="s">
        <v>17</v>
      </c>
      <c r="C353" s="29" t="s">
        <v>204</v>
      </c>
      <c r="D353" s="39" t="s">
        <v>130</v>
      </c>
      <c r="E353" s="39" t="s">
        <v>562</v>
      </c>
      <c r="F353" s="128">
        <v>100</v>
      </c>
      <c r="G353" s="18">
        <f>G354</f>
        <v>45.42</v>
      </c>
      <c r="H353" s="18">
        <f t="shared" si="142"/>
        <v>0</v>
      </c>
      <c r="I353" s="18">
        <f t="shared" si="142"/>
        <v>0</v>
      </c>
    </row>
    <row r="354" spans="1:10" x14ac:dyDescent="0.25">
      <c r="A354" s="48">
        <v>337</v>
      </c>
      <c r="B354" s="81" t="s">
        <v>73</v>
      </c>
      <c r="C354" s="29" t="s">
        <v>204</v>
      </c>
      <c r="D354" s="39" t="s">
        <v>130</v>
      </c>
      <c r="E354" s="39" t="s">
        <v>562</v>
      </c>
      <c r="F354" s="128">
        <v>110</v>
      </c>
      <c r="G354" s="18">
        <v>45.42</v>
      </c>
      <c r="H354" s="18">
        <v>0</v>
      </c>
      <c r="I354" s="18">
        <v>0</v>
      </c>
      <c r="J354" s="73">
        <v>45.42</v>
      </c>
    </row>
    <row r="355" spans="1:10" ht="60" x14ac:dyDescent="0.25">
      <c r="A355" s="22">
        <v>338</v>
      </c>
      <c r="B355" s="118" t="s">
        <v>556</v>
      </c>
      <c r="C355" s="29" t="s">
        <v>204</v>
      </c>
      <c r="D355" s="39" t="s">
        <v>130</v>
      </c>
      <c r="E355" s="39" t="s">
        <v>533</v>
      </c>
      <c r="F355" s="111"/>
      <c r="G355" s="18">
        <f>G356</f>
        <v>26.05</v>
      </c>
      <c r="H355" s="18">
        <f t="shared" ref="H355:I356" si="143">H356</f>
        <v>0</v>
      </c>
      <c r="I355" s="18">
        <f t="shared" si="143"/>
        <v>0</v>
      </c>
    </row>
    <row r="356" spans="1:10" ht="45" x14ac:dyDescent="0.25">
      <c r="A356" s="48">
        <v>339</v>
      </c>
      <c r="B356" s="81" t="s">
        <v>17</v>
      </c>
      <c r="C356" s="29" t="s">
        <v>204</v>
      </c>
      <c r="D356" s="39" t="s">
        <v>130</v>
      </c>
      <c r="E356" s="39" t="s">
        <v>533</v>
      </c>
      <c r="F356" s="111">
        <v>100</v>
      </c>
      <c r="G356" s="18">
        <f>G357</f>
        <v>26.05</v>
      </c>
      <c r="H356" s="18">
        <f t="shared" si="143"/>
        <v>0</v>
      </c>
      <c r="I356" s="18">
        <f t="shared" si="143"/>
        <v>0</v>
      </c>
    </row>
    <row r="357" spans="1:10" x14ac:dyDescent="0.25">
      <c r="A357" s="22">
        <v>340</v>
      </c>
      <c r="B357" s="81" t="s">
        <v>73</v>
      </c>
      <c r="C357" s="29" t="s">
        <v>204</v>
      </c>
      <c r="D357" s="39" t="s">
        <v>130</v>
      </c>
      <c r="E357" s="39" t="s">
        <v>533</v>
      </c>
      <c r="F357" s="111">
        <v>110</v>
      </c>
      <c r="G357" s="18">
        <v>26.05</v>
      </c>
      <c r="H357" s="18">
        <v>0</v>
      </c>
      <c r="I357" s="18">
        <v>0</v>
      </c>
    </row>
    <row r="358" spans="1:10" x14ac:dyDescent="0.25">
      <c r="A358" s="48">
        <v>341</v>
      </c>
      <c r="B358" s="80" t="s">
        <v>389</v>
      </c>
      <c r="C358" s="29" t="s">
        <v>204</v>
      </c>
      <c r="D358" s="39" t="s">
        <v>130</v>
      </c>
      <c r="E358" s="39" t="s">
        <v>390</v>
      </c>
      <c r="F358" s="111"/>
      <c r="G358" s="18">
        <f>G359</f>
        <v>0.5</v>
      </c>
      <c r="H358" s="18">
        <f t="shared" ref="H358:I359" si="144">H359</f>
        <v>0</v>
      </c>
      <c r="I358" s="18">
        <f t="shared" si="144"/>
        <v>0</v>
      </c>
    </row>
    <row r="359" spans="1:10" x14ac:dyDescent="0.25">
      <c r="A359" s="22">
        <v>342</v>
      </c>
      <c r="B359" s="81" t="s">
        <v>23</v>
      </c>
      <c r="C359" s="29" t="s">
        <v>204</v>
      </c>
      <c r="D359" s="39" t="s">
        <v>130</v>
      </c>
      <c r="E359" s="39" t="s">
        <v>390</v>
      </c>
      <c r="F359" s="111">
        <v>200</v>
      </c>
      <c r="G359" s="18">
        <f>G360</f>
        <v>0.5</v>
      </c>
      <c r="H359" s="18">
        <f t="shared" si="144"/>
        <v>0</v>
      </c>
      <c r="I359" s="18">
        <f t="shared" si="144"/>
        <v>0</v>
      </c>
    </row>
    <row r="360" spans="1:10" x14ac:dyDescent="0.25">
      <c r="A360" s="48">
        <v>343</v>
      </c>
      <c r="B360" s="81" t="s">
        <v>24</v>
      </c>
      <c r="C360" s="29" t="s">
        <v>204</v>
      </c>
      <c r="D360" s="39" t="s">
        <v>130</v>
      </c>
      <c r="E360" s="39" t="s">
        <v>390</v>
      </c>
      <c r="F360" s="111">
        <v>240</v>
      </c>
      <c r="G360" s="18">
        <v>0.5</v>
      </c>
      <c r="H360" s="18">
        <v>0</v>
      </c>
      <c r="I360" s="18">
        <v>0</v>
      </c>
    </row>
    <row r="361" spans="1:10" ht="48.75" customHeight="1" x14ac:dyDescent="0.25">
      <c r="A361" s="22">
        <v>344</v>
      </c>
      <c r="B361" s="119" t="s">
        <v>456</v>
      </c>
      <c r="C361" s="29" t="s">
        <v>204</v>
      </c>
      <c r="D361" s="39" t="s">
        <v>130</v>
      </c>
      <c r="E361" s="39" t="s">
        <v>457</v>
      </c>
      <c r="F361" s="111"/>
      <c r="G361" s="18">
        <f>G362</f>
        <v>312</v>
      </c>
      <c r="H361" s="18">
        <f t="shared" ref="H361:I362" si="145">H362</f>
        <v>9</v>
      </c>
      <c r="I361" s="18">
        <f t="shared" si="145"/>
        <v>93</v>
      </c>
    </row>
    <row r="362" spans="1:10" ht="25.5" customHeight="1" x14ac:dyDescent="0.25">
      <c r="A362" s="48">
        <v>345</v>
      </c>
      <c r="B362" s="81" t="s">
        <v>23</v>
      </c>
      <c r="C362" s="29" t="s">
        <v>204</v>
      </c>
      <c r="D362" s="39" t="s">
        <v>130</v>
      </c>
      <c r="E362" s="39" t="s">
        <v>457</v>
      </c>
      <c r="F362" s="111">
        <v>200</v>
      </c>
      <c r="G362" s="18">
        <f>G363</f>
        <v>312</v>
      </c>
      <c r="H362" s="18">
        <f t="shared" si="145"/>
        <v>9</v>
      </c>
      <c r="I362" s="18">
        <f t="shared" si="145"/>
        <v>93</v>
      </c>
    </row>
    <row r="363" spans="1:10" ht="26.25" customHeight="1" x14ac:dyDescent="0.25">
      <c r="A363" s="22">
        <v>346</v>
      </c>
      <c r="B363" s="81" t="s">
        <v>24</v>
      </c>
      <c r="C363" s="29" t="s">
        <v>204</v>
      </c>
      <c r="D363" s="39" t="s">
        <v>130</v>
      </c>
      <c r="E363" s="39" t="s">
        <v>457</v>
      </c>
      <c r="F363" s="111">
        <v>240</v>
      </c>
      <c r="G363" s="18">
        <v>312</v>
      </c>
      <c r="H363" s="18">
        <v>9</v>
      </c>
      <c r="I363" s="18">
        <v>93</v>
      </c>
    </row>
    <row r="364" spans="1:10" ht="28.5" x14ac:dyDescent="0.25">
      <c r="A364" s="48">
        <v>347</v>
      </c>
      <c r="B364" s="55" t="s">
        <v>309</v>
      </c>
      <c r="C364" s="51" t="s">
        <v>204</v>
      </c>
      <c r="D364" s="48"/>
      <c r="E364" s="48"/>
      <c r="F364" s="48"/>
      <c r="G364" s="56">
        <f>G365</f>
        <v>2288.3200000000002</v>
      </c>
      <c r="H364" s="56">
        <f t="shared" ref="H364:I364" si="146">H365</f>
        <v>2385.5300000000002</v>
      </c>
      <c r="I364" s="56">
        <f t="shared" si="146"/>
        <v>2385.5300000000002</v>
      </c>
    </row>
    <row r="365" spans="1:10" x14ac:dyDescent="0.25">
      <c r="A365" s="22">
        <v>348</v>
      </c>
      <c r="B365" s="57" t="s">
        <v>115</v>
      </c>
      <c r="C365" s="29" t="s">
        <v>204</v>
      </c>
      <c r="D365" s="39" t="s">
        <v>116</v>
      </c>
      <c r="E365" s="111"/>
      <c r="F365" s="111"/>
      <c r="G365" s="18">
        <f>G366</f>
        <v>2288.3200000000002</v>
      </c>
      <c r="H365" s="18">
        <f t="shared" ref="H365:I365" si="147">H366</f>
        <v>2385.5300000000002</v>
      </c>
      <c r="I365" s="18">
        <f t="shared" si="147"/>
        <v>2385.5300000000002</v>
      </c>
    </row>
    <row r="366" spans="1:10" x14ac:dyDescent="0.25">
      <c r="A366" s="48">
        <v>349</v>
      </c>
      <c r="B366" s="112" t="s">
        <v>69</v>
      </c>
      <c r="C366" s="29" t="s">
        <v>204</v>
      </c>
      <c r="D366" s="39" t="s">
        <v>124</v>
      </c>
      <c r="E366" s="111"/>
      <c r="F366" s="111"/>
      <c r="G366" s="18">
        <f>G367</f>
        <v>2288.3200000000002</v>
      </c>
      <c r="H366" s="18">
        <f t="shared" ref="H366:I366" si="148">H367</f>
        <v>2385.5300000000002</v>
      </c>
      <c r="I366" s="18">
        <f t="shared" si="148"/>
        <v>2385.5300000000002</v>
      </c>
    </row>
    <row r="367" spans="1:10" x14ac:dyDescent="0.25">
      <c r="A367" s="22">
        <v>350</v>
      </c>
      <c r="B367" s="112" t="s">
        <v>70</v>
      </c>
      <c r="C367" s="29" t="s">
        <v>204</v>
      </c>
      <c r="D367" s="39" t="s">
        <v>124</v>
      </c>
      <c r="E367" s="39" t="s">
        <v>248</v>
      </c>
      <c r="F367" s="111"/>
      <c r="G367" s="18">
        <f>G368</f>
        <v>2288.3200000000002</v>
      </c>
      <c r="H367" s="18">
        <f t="shared" ref="H367:I367" si="149">H368</f>
        <v>2385.5300000000002</v>
      </c>
      <c r="I367" s="18">
        <f t="shared" si="149"/>
        <v>2385.5300000000002</v>
      </c>
    </row>
    <row r="368" spans="1:10" x14ac:dyDescent="0.25">
      <c r="A368" s="48">
        <v>351</v>
      </c>
      <c r="B368" s="112" t="s">
        <v>71</v>
      </c>
      <c r="C368" s="29" t="s">
        <v>204</v>
      </c>
      <c r="D368" s="39" t="s">
        <v>124</v>
      </c>
      <c r="E368" s="39" t="s">
        <v>249</v>
      </c>
      <c r="F368" s="111"/>
      <c r="G368" s="18">
        <f>G369+G379+G376</f>
        <v>2288.3200000000002</v>
      </c>
      <c r="H368" s="18">
        <f t="shared" ref="H368:I368" si="150">H369+H379+H376</f>
        <v>2385.5300000000002</v>
      </c>
      <c r="I368" s="18">
        <f t="shared" si="150"/>
        <v>2385.5300000000002</v>
      </c>
    </row>
    <row r="369" spans="1:9" x14ac:dyDescent="0.25">
      <c r="A369" s="22">
        <v>352</v>
      </c>
      <c r="B369" s="112" t="s">
        <v>72</v>
      </c>
      <c r="C369" s="29" t="s">
        <v>204</v>
      </c>
      <c r="D369" s="39" t="s">
        <v>124</v>
      </c>
      <c r="E369" s="39" t="s">
        <v>250</v>
      </c>
      <c r="F369" s="111"/>
      <c r="G369" s="18">
        <f>G370+G372+G374</f>
        <v>2032.8500000000001</v>
      </c>
      <c r="H369" s="18">
        <f t="shared" ref="H369:I369" si="151">H370+H372+H374</f>
        <v>2143.4300000000003</v>
      </c>
      <c r="I369" s="18">
        <f t="shared" si="151"/>
        <v>2143.4300000000003</v>
      </c>
    </row>
    <row r="370" spans="1:9" ht="45" x14ac:dyDescent="0.25">
      <c r="A370" s="48">
        <v>353</v>
      </c>
      <c r="B370" s="81" t="s">
        <v>17</v>
      </c>
      <c r="C370" s="29" t="s">
        <v>204</v>
      </c>
      <c r="D370" s="39" t="s">
        <v>124</v>
      </c>
      <c r="E370" s="39" t="s">
        <v>250</v>
      </c>
      <c r="F370" s="111">
        <v>100</v>
      </c>
      <c r="G370" s="18">
        <f>G371</f>
        <v>1278.1500000000001</v>
      </c>
      <c r="H370" s="18">
        <f t="shared" ref="H370:I370" si="152">H371</f>
        <v>1388.73</v>
      </c>
      <c r="I370" s="18">
        <f t="shared" si="152"/>
        <v>1388.73</v>
      </c>
    </row>
    <row r="371" spans="1:9" x14ac:dyDescent="0.25">
      <c r="A371" s="22">
        <v>354</v>
      </c>
      <c r="B371" s="81" t="s">
        <v>73</v>
      </c>
      <c r="C371" s="29" t="s">
        <v>204</v>
      </c>
      <c r="D371" s="39" t="s">
        <v>124</v>
      </c>
      <c r="E371" s="39" t="s">
        <v>250</v>
      </c>
      <c r="F371" s="111">
        <v>110</v>
      </c>
      <c r="G371" s="18">
        <f>1388.73-110.58</f>
        <v>1278.1500000000001</v>
      </c>
      <c r="H371" s="18">
        <v>1388.73</v>
      </c>
      <c r="I371" s="18">
        <v>1388.73</v>
      </c>
    </row>
    <row r="372" spans="1:9" x14ac:dyDescent="0.25">
      <c r="A372" s="48">
        <v>355</v>
      </c>
      <c r="B372" s="81" t="s">
        <v>23</v>
      </c>
      <c r="C372" s="29" t="s">
        <v>204</v>
      </c>
      <c r="D372" s="39" t="s">
        <v>124</v>
      </c>
      <c r="E372" s="39" t="s">
        <v>250</v>
      </c>
      <c r="F372" s="111">
        <v>200</v>
      </c>
      <c r="G372" s="18">
        <f>G373</f>
        <v>754.2</v>
      </c>
      <c r="H372" s="18">
        <f t="shared" ref="H372:I372" si="153">H373</f>
        <v>754.2</v>
      </c>
      <c r="I372" s="18">
        <f t="shared" si="153"/>
        <v>754.2</v>
      </c>
    </row>
    <row r="373" spans="1:9" x14ac:dyDescent="0.25">
      <c r="A373" s="22">
        <v>356</v>
      </c>
      <c r="B373" s="81" t="s">
        <v>24</v>
      </c>
      <c r="C373" s="29" t="s">
        <v>204</v>
      </c>
      <c r="D373" s="39" t="s">
        <v>124</v>
      </c>
      <c r="E373" s="39" t="s">
        <v>250</v>
      </c>
      <c r="F373" s="111">
        <v>240</v>
      </c>
      <c r="G373" s="18">
        <f>756.2-2</f>
        <v>754.2</v>
      </c>
      <c r="H373" s="18">
        <f t="shared" ref="H373:I373" si="154">756.2-2</f>
        <v>754.2</v>
      </c>
      <c r="I373" s="18">
        <f t="shared" si="154"/>
        <v>754.2</v>
      </c>
    </row>
    <row r="374" spans="1:9" x14ac:dyDescent="0.25">
      <c r="A374" s="48">
        <v>357</v>
      </c>
      <c r="B374" s="81" t="s">
        <v>38</v>
      </c>
      <c r="C374" s="29" t="s">
        <v>204</v>
      </c>
      <c r="D374" s="39" t="s">
        <v>124</v>
      </c>
      <c r="E374" s="39" t="s">
        <v>250</v>
      </c>
      <c r="F374" s="111">
        <v>800</v>
      </c>
      <c r="G374" s="18">
        <f>G375</f>
        <v>0.5</v>
      </c>
      <c r="H374" s="18">
        <f t="shared" ref="H374:I374" si="155">H375</f>
        <v>0.5</v>
      </c>
      <c r="I374" s="18">
        <f t="shared" si="155"/>
        <v>0.5</v>
      </c>
    </row>
    <row r="375" spans="1:9" x14ac:dyDescent="0.25">
      <c r="A375" s="22">
        <v>358</v>
      </c>
      <c r="B375" s="81" t="s">
        <v>108</v>
      </c>
      <c r="C375" s="29" t="s">
        <v>204</v>
      </c>
      <c r="D375" s="39" t="s">
        <v>124</v>
      </c>
      <c r="E375" s="39" t="s">
        <v>250</v>
      </c>
      <c r="F375" s="111">
        <v>850</v>
      </c>
      <c r="G375" s="18">
        <v>0.5</v>
      </c>
      <c r="H375" s="18">
        <v>0.5</v>
      </c>
      <c r="I375" s="18">
        <v>0.5</v>
      </c>
    </row>
    <row r="376" spans="1:9" ht="60" x14ac:dyDescent="0.25">
      <c r="A376" s="48">
        <v>359</v>
      </c>
      <c r="B376" s="118" t="s">
        <v>556</v>
      </c>
      <c r="C376" s="29" t="s">
        <v>204</v>
      </c>
      <c r="D376" s="39" t="s">
        <v>124</v>
      </c>
      <c r="E376" s="39" t="s">
        <v>534</v>
      </c>
      <c r="F376" s="111"/>
      <c r="G376" s="18">
        <f>G377</f>
        <v>11.23</v>
      </c>
      <c r="H376" s="18">
        <f t="shared" ref="H376:I377" si="156">H377</f>
        <v>0</v>
      </c>
      <c r="I376" s="18">
        <f t="shared" si="156"/>
        <v>0</v>
      </c>
    </row>
    <row r="377" spans="1:9" ht="45" x14ac:dyDescent="0.25">
      <c r="A377" s="22">
        <v>360</v>
      </c>
      <c r="B377" s="81" t="s">
        <v>17</v>
      </c>
      <c r="C377" s="29" t="s">
        <v>204</v>
      </c>
      <c r="D377" s="39" t="s">
        <v>124</v>
      </c>
      <c r="E377" s="39" t="s">
        <v>534</v>
      </c>
      <c r="F377" s="111">
        <v>100</v>
      </c>
      <c r="G377" s="18">
        <f>G378</f>
        <v>11.23</v>
      </c>
      <c r="H377" s="18">
        <f t="shared" si="156"/>
        <v>0</v>
      </c>
      <c r="I377" s="18">
        <f t="shared" si="156"/>
        <v>0</v>
      </c>
    </row>
    <row r="378" spans="1:9" x14ac:dyDescent="0.25">
      <c r="A378" s="48">
        <v>361</v>
      </c>
      <c r="B378" s="81" t="s">
        <v>73</v>
      </c>
      <c r="C378" s="29" t="s">
        <v>204</v>
      </c>
      <c r="D378" s="39" t="s">
        <v>124</v>
      </c>
      <c r="E378" s="39" t="s">
        <v>534</v>
      </c>
      <c r="F378" s="111">
        <v>110</v>
      </c>
      <c r="G378" s="18">
        <v>11.23</v>
      </c>
      <c r="H378" s="18">
        <v>0</v>
      </c>
      <c r="I378" s="18">
        <v>0</v>
      </c>
    </row>
    <row r="379" spans="1:9" ht="30" x14ac:dyDescent="0.25">
      <c r="A379" s="22">
        <v>362</v>
      </c>
      <c r="B379" s="114" t="s">
        <v>74</v>
      </c>
      <c r="C379" s="29" t="s">
        <v>204</v>
      </c>
      <c r="D379" s="39" t="s">
        <v>124</v>
      </c>
      <c r="E379" s="39" t="s">
        <v>251</v>
      </c>
      <c r="F379" s="111"/>
      <c r="G379" s="18">
        <f>G380+G382</f>
        <v>244.23999999999998</v>
      </c>
      <c r="H379" s="18">
        <f>H380+H382</f>
        <v>242.1</v>
      </c>
      <c r="I379" s="18">
        <f>I380+I382</f>
        <v>242.1</v>
      </c>
    </row>
    <row r="380" spans="1:9" ht="45" x14ac:dyDescent="0.25">
      <c r="A380" s="48">
        <v>363</v>
      </c>
      <c r="B380" s="81" t="s">
        <v>17</v>
      </c>
      <c r="C380" s="29" t="s">
        <v>204</v>
      </c>
      <c r="D380" s="39" t="s">
        <v>124</v>
      </c>
      <c r="E380" s="39" t="s">
        <v>251</v>
      </c>
      <c r="F380" s="111">
        <v>100</v>
      </c>
      <c r="G380" s="18">
        <f>G381</f>
        <v>201.26999999999998</v>
      </c>
      <c r="H380" s="18">
        <f t="shared" ref="H380:I380" si="157">H381</f>
        <v>199.13</v>
      </c>
      <c r="I380" s="18">
        <f t="shared" si="157"/>
        <v>199.13</v>
      </c>
    </row>
    <row r="381" spans="1:9" x14ac:dyDescent="0.25">
      <c r="A381" s="22">
        <v>364</v>
      </c>
      <c r="B381" s="81" t="s">
        <v>73</v>
      </c>
      <c r="C381" s="29" t="s">
        <v>204</v>
      </c>
      <c r="D381" s="39" t="s">
        <v>124</v>
      </c>
      <c r="E381" s="39" t="s">
        <v>251</v>
      </c>
      <c r="F381" s="111">
        <v>110</v>
      </c>
      <c r="G381" s="18">
        <f>199.13+2.14</f>
        <v>201.26999999999998</v>
      </c>
      <c r="H381" s="18">
        <v>199.13</v>
      </c>
      <c r="I381" s="18">
        <v>199.13</v>
      </c>
    </row>
    <row r="382" spans="1:9" x14ac:dyDescent="0.25">
      <c r="A382" s="48">
        <v>365</v>
      </c>
      <c r="B382" s="81" t="s">
        <v>23</v>
      </c>
      <c r="C382" s="29" t="s">
        <v>204</v>
      </c>
      <c r="D382" s="39" t="s">
        <v>124</v>
      </c>
      <c r="E382" s="39" t="s">
        <v>251</v>
      </c>
      <c r="F382" s="111">
        <v>200</v>
      </c>
      <c r="G382" s="18">
        <f>G383</f>
        <v>42.97</v>
      </c>
      <c r="H382" s="18">
        <f t="shared" ref="H382:I382" si="158">H383</f>
        <v>42.97</v>
      </c>
      <c r="I382" s="18">
        <f t="shared" si="158"/>
        <v>42.97</v>
      </c>
    </row>
    <row r="383" spans="1:9" x14ac:dyDescent="0.25">
      <c r="A383" s="22">
        <v>366</v>
      </c>
      <c r="B383" s="81" t="s">
        <v>24</v>
      </c>
      <c r="C383" s="29" t="s">
        <v>204</v>
      </c>
      <c r="D383" s="39" t="s">
        <v>124</v>
      </c>
      <c r="E383" s="39" t="s">
        <v>251</v>
      </c>
      <c r="F383" s="111">
        <v>240</v>
      </c>
      <c r="G383" s="18">
        <v>42.97</v>
      </c>
      <c r="H383" s="18">
        <v>42.97</v>
      </c>
      <c r="I383" s="18">
        <v>42.97</v>
      </c>
    </row>
    <row r="384" spans="1:9" ht="39" customHeight="1" x14ac:dyDescent="0.25">
      <c r="A384" s="48">
        <v>367</v>
      </c>
      <c r="B384" s="55" t="s">
        <v>310</v>
      </c>
      <c r="C384" s="51" t="s">
        <v>204</v>
      </c>
      <c r="D384" s="46"/>
      <c r="E384" s="46"/>
      <c r="F384" s="46"/>
      <c r="G384" s="47">
        <f t="shared" ref="G384:G390" si="159">G385</f>
        <v>170.91</v>
      </c>
      <c r="H384" s="47">
        <f t="shared" ref="H384:I389" si="160">H385</f>
        <v>0</v>
      </c>
      <c r="I384" s="47">
        <f t="shared" si="160"/>
        <v>0</v>
      </c>
    </row>
    <row r="385" spans="1:9" x14ac:dyDescent="0.25">
      <c r="A385" s="22">
        <v>368</v>
      </c>
      <c r="B385" s="57" t="s">
        <v>115</v>
      </c>
      <c r="C385" s="29" t="s">
        <v>204</v>
      </c>
      <c r="D385" s="39" t="s">
        <v>116</v>
      </c>
      <c r="E385" s="111"/>
      <c r="F385" s="111"/>
      <c r="G385" s="30">
        <f t="shared" si="159"/>
        <v>170.91</v>
      </c>
      <c r="H385" s="30">
        <f t="shared" si="160"/>
        <v>0</v>
      </c>
      <c r="I385" s="30">
        <f t="shared" si="160"/>
        <v>0</v>
      </c>
    </row>
    <row r="386" spans="1:9" x14ac:dyDescent="0.25">
      <c r="A386" s="48">
        <v>369</v>
      </c>
      <c r="B386" s="112" t="s">
        <v>41</v>
      </c>
      <c r="C386" s="29" t="s">
        <v>204</v>
      </c>
      <c r="D386" s="39" t="s">
        <v>124</v>
      </c>
      <c r="E386" s="111"/>
      <c r="F386" s="111"/>
      <c r="G386" s="30">
        <f t="shared" si="159"/>
        <v>170.91</v>
      </c>
      <c r="H386" s="30">
        <f t="shared" si="160"/>
        <v>0</v>
      </c>
      <c r="I386" s="30">
        <f t="shared" si="160"/>
        <v>0</v>
      </c>
    </row>
    <row r="387" spans="1:9" x14ac:dyDescent="0.25">
      <c r="A387" s="22">
        <v>370</v>
      </c>
      <c r="B387" s="112" t="s">
        <v>370</v>
      </c>
      <c r="C387" s="29" t="s">
        <v>204</v>
      </c>
      <c r="D387" s="39" t="s">
        <v>124</v>
      </c>
      <c r="E387" s="39" t="s">
        <v>367</v>
      </c>
      <c r="F387" s="111"/>
      <c r="G387" s="30">
        <f t="shared" si="159"/>
        <v>170.91</v>
      </c>
      <c r="H387" s="30">
        <f t="shared" si="160"/>
        <v>0</v>
      </c>
      <c r="I387" s="30">
        <f t="shared" si="160"/>
        <v>0</v>
      </c>
    </row>
    <row r="388" spans="1:9" x14ac:dyDescent="0.25">
      <c r="A388" s="48">
        <v>371</v>
      </c>
      <c r="B388" s="112" t="s">
        <v>364</v>
      </c>
      <c r="C388" s="29" t="s">
        <v>204</v>
      </c>
      <c r="D388" s="39" t="s">
        <v>124</v>
      </c>
      <c r="E388" s="39" t="s">
        <v>365</v>
      </c>
      <c r="F388" s="111"/>
      <c r="G388" s="30">
        <f t="shared" si="159"/>
        <v>170.91</v>
      </c>
      <c r="H388" s="30">
        <f t="shared" si="160"/>
        <v>0</v>
      </c>
      <c r="I388" s="30">
        <f t="shared" si="160"/>
        <v>0</v>
      </c>
    </row>
    <row r="389" spans="1:9" x14ac:dyDescent="0.25">
      <c r="A389" s="22">
        <v>372</v>
      </c>
      <c r="B389" s="112" t="s">
        <v>401</v>
      </c>
      <c r="C389" s="29" t="s">
        <v>204</v>
      </c>
      <c r="D389" s="39" t="s">
        <v>124</v>
      </c>
      <c r="E389" s="39" t="s">
        <v>366</v>
      </c>
      <c r="F389" s="111"/>
      <c r="G389" s="30">
        <f t="shared" si="159"/>
        <v>170.91</v>
      </c>
      <c r="H389" s="30">
        <f t="shared" si="160"/>
        <v>0</v>
      </c>
      <c r="I389" s="30">
        <f t="shared" si="160"/>
        <v>0</v>
      </c>
    </row>
    <row r="390" spans="1:9" ht="45" x14ac:dyDescent="0.25">
      <c r="A390" s="48">
        <v>373</v>
      </c>
      <c r="B390" s="81" t="s">
        <v>17</v>
      </c>
      <c r="C390" s="29" t="s">
        <v>204</v>
      </c>
      <c r="D390" s="39" t="s">
        <v>124</v>
      </c>
      <c r="E390" s="39" t="s">
        <v>366</v>
      </c>
      <c r="F390" s="111">
        <v>100</v>
      </c>
      <c r="G390" s="30">
        <f t="shared" si="159"/>
        <v>170.91</v>
      </c>
      <c r="H390" s="30">
        <f t="shared" ref="H390:I390" si="161">H391</f>
        <v>0</v>
      </c>
      <c r="I390" s="30">
        <f t="shared" si="161"/>
        <v>0</v>
      </c>
    </row>
    <row r="391" spans="1:9" x14ac:dyDescent="0.25">
      <c r="A391" s="22">
        <v>374</v>
      </c>
      <c r="B391" s="81" t="s">
        <v>73</v>
      </c>
      <c r="C391" s="29" t="s">
        <v>204</v>
      </c>
      <c r="D391" s="39" t="s">
        <v>124</v>
      </c>
      <c r="E391" s="39" t="s">
        <v>366</v>
      </c>
      <c r="F391" s="111">
        <v>110</v>
      </c>
      <c r="G391" s="30">
        <f>698.28-501.15-26.22</f>
        <v>170.91</v>
      </c>
      <c r="H391" s="30">
        <v>0</v>
      </c>
      <c r="I391" s="30">
        <v>0</v>
      </c>
    </row>
    <row r="392" spans="1:9" ht="36.75" customHeight="1" x14ac:dyDescent="0.25">
      <c r="A392" s="48">
        <v>375</v>
      </c>
      <c r="B392" s="55" t="s">
        <v>311</v>
      </c>
      <c r="C392" s="51" t="s">
        <v>204</v>
      </c>
      <c r="D392" s="46"/>
      <c r="E392" s="46"/>
      <c r="F392" s="46"/>
      <c r="G392" s="47">
        <f>G393</f>
        <v>56056.829999999994</v>
      </c>
      <c r="H392" s="47">
        <f t="shared" ref="H392:I395" si="162">H393</f>
        <v>54557.79</v>
      </c>
      <c r="I392" s="47">
        <f t="shared" si="162"/>
        <v>54557.79</v>
      </c>
    </row>
    <row r="393" spans="1:9" x14ac:dyDescent="0.25">
      <c r="A393" s="22">
        <v>376</v>
      </c>
      <c r="B393" s="57" t="s">
        <v>115</v>
      </c>
      <c r="C393" s="29" t="s">
        <v>204</v>
      </c>
      <c r="D393" s="39" t="s">
        <v>116</v>
      </c>
      <c r="E393" s="111"/>
      <c r="F393" s="111"/>
      <c r="G393" s="18">
        <f>G394</f>
        <v>56056.829999999994</v>
      </c>
      <c r="H393" s="18">
        <f t="shared" si="162"/>
        <v>54557.79</v>
      </c>
      <c r="I393" s="18">
        <f t="shared" si="162"/>
        <v>54557.79</v>
      </c>
    </row>
    <row r="394" spans="1:9" x14ac:dyDescent="0.25">
      <c r="A394" s="48">
        <v>377</v>
      </c>
      <c r="B394" s="112" t="s">
        <v>41</v>
      </c>
      <c r="C394" s="29" t="s">
        <v>204</v>
      </c>
      <c r="D394" s="39" t="s">
        <v>124</v>
      </c>
      <c r="E394" s="111"/>
      <c r="F394" s="111"/>
      <c r="G394" s="18">
        <f>G395</f>
        <v>56056.829999999994</v>
      </c>
      <c r="H394" s="18">
        <f t="shared" si="162"/>
        <v>54557.79</v>
      </c>
      <c r="I394" s="18">
        <f t="shared" si="162"/>
        <v>54557.79</v>
      </c>
    </row>
    <row r="395" spans="1:9" x14ac:dyDescent="0.25">
      <c r="A395" s="22">
        <v>378</v>
      </c>
      <c r="B395" s="112" t="s">
        <v>370</v>
      </c>
      <c r="C395" s="29" t="s">
        <v>204</v>
      </c>
      <c r="D395" s="39" t="s">
        <v>124</v>
      </c>
      <c r="E395" s="39" t="s">
        <v>367</v>
      </c>
      <c r="F395" s="111"/>
      <c r="G395" s="18">
        <f>G396</f>
        <v>56056.829999999994</v>
      </c>
      <c r="H395" s="18">
        <f t="shared" si="162"/>
        <v>54557.79</v>
      </c>
      <c r="I395" s="18">
        <f t="shared" si="162"/>
        <v>54557.79</v>
      </c>
    </row>
    <row r="396" spans="1:9" x14ac:dyDescent="0.25">
      <c r="A396" s="48">
        <v>379</v>
      </c>
      <c r="B396" s="112" t="s">
        <v>369</v>
      </c>
      <c r="C396" s="29" t="s">
        <v>204</v>
      </c>
      <c r="D396" s="39" t="s">
        <v>124</v>
      </c>
      <c r="E396" s="39" t="s">
        <v>368</v>
      </c>
      <c r="F396" s="111"/>
      <c r="G396" s="18">
        <f>G397+G411+G405+G408</f>
        <v>56056.829999999994</v>
      </c>
      <c r="H396" s="18">
        <f t="shared" ref="H396:I396" si="163">H397+H411+H405+H408</f>
        <v>54557.79</v>
      </c>
      <c r="I396" s="18">
        <f t="shared" si="163"/>
        <v>54557.79</v>
      </c>
    </row>
    <row r="397" spans="1:9" x14ac:dyDescent="0.25">
      <c r="A397" s="22">
        <v>380</v>
      </c>
      <c r="B397" s="112" t="s">
        <v>401</v>
      </c>
      <c r="C397" s="29" t="s">
        <v>204</v>
      </c>
      <c r="D397" s="39" t="s">
        <v>124</v>
      </c>
      <c r="E397" s="39" t="s">
        <v>371</v>
      </c>
      <c r="F397" s="111"/>
      <c r="G397" s="18">
        <f>G398+G400+G402</f>
        <v>51030.719999999994</v>
      </c>
      <c r="H397" s="18">
        <f t="shared" ref="H397:I397" si="164">H398+H400+H402</f>
        <v>53586.06</v>
      </c>
      <c r="I397" s="18">
        <f t="shared" si="164"/>
        <v>53586.06</v>
      </c>
    </row>
    <row r="398" spans="1:9" ht="45" x14ac:dyDescent="0.25">
      <c r="A398" s="48">
        <v>381</v>
      </c>
      <c r="B398" s="81" t="s">
        <v>17</v>
      </c>
      <c r="C398" s="29" t="s">
        <v>204</v>
      </c>
      <c r="D398" s="39" t="s">
        <v>124</v>
      </c>
      <c r="E398" s="39" t="s">
        <v>371</v>
      </c>
      <c r="F398" s="111">
        <v>100</v>
      </c>
      <c r="G398" s="18">
        <f>G399</f>
        <v>48159.749999999993</v>
      </c>
      <c r="H398" s="18">
        <f t="shared" ref="H398:I398" si="165">H399</f>
        <v>50526.579999999994</v>
      </c>
      <c r="I398" s="18">
        <f t="shared" si="165"/>
        <v>50526.579999999994</v>
      </c>
    </row>
    <row r="399" spans="1:9" x14ac:dyDescent="0.25">
      <c r="A399" s="22">
        <v>382</v>
      </c>
      <c r="B399" s="81" t="s">
        <v>73</v>
      </c>
      <c r="C399" s="29" t="s">
        <v>204</v>
      </c>
      <c r="D399" s="39" t="s">
        <v>124</v>
      </c>
      <c r="E399" s="39" t="s">
        <v>371</v>
      </c>
      <c r="F399" s="111">
        <v>110</v>
      </c>
      <c r="G399" s="18">
        <f>51464.02+320-937.44-91.23-2595.6</f>
        <v>48159.749999999993</v>
      </c>
      <c r="H399" s="18">
        <f>51464.02-937.44</f>
        <v>50526.579999999994</v>
      </c>
      <c r="I399" s="18">
        <f>51464.02-937.44</f>
        <v>50526.579999999994</v>
      </c>
    </row>
    <row r="400" spans="1:9" x14ac:dyDescent="0.25">
      <c r="A400" s="48">
        <v>383</v>
      </c>
      <c r="B400" s="81" t="s">
        <v>23</v>
      </c>
      <c r="C400" s="29" t="s">
        <v>204</v>
      </c>
      <c r="D400" s="39" t="s">
        <v>124</v>
      </c>
      <c r="E400" s="39" t="s">
        <v>371</v>
      </c>
      <c r="F400" s="111">
        <v>200</v>
      </c>
      <c r="G400" s="18">
        <f>G401</f>
        <v>2776.74</v>
      </c>
      <c r="H400" s="18">
        <f t="shared" ref="H400:I400" si="166">H401</f>
        <v>3056.48</v>
      </c>
      <c r="I400" s="18">
        <f t="shared" si="166"/>
        <v>3056.48</v>
      </c>
    </row>
    <row r="401" spans="1:9" x14ac:dyDescent="0.25">
      <c r="A401" s="22">
        <v>384</v>
      </c>
      <c r="B401" s="81" t="s">
        <v>24</v>
      </c>
      <c r="C401" s="29" t="s">
        <v>204</v>
      </c>
      <c r="D401" s="39" t="s">
        <v>124</v>
      </c>
      <c r="E401" s="39" t="s">
        <v>371</v>
      </c>
      <c r="F401" s="111">
        <v>240</v>
      </c>
      <c r="G401" s="18">
        <f>3090.77-34.29-279.74</f>
        <v>2776.74</v>
      </c>
      <c r="H401" s="18">
        <f>3090.77-34.29</f>
        <v>3056.48</v>
      </c>
      <c r="I401" s="18">
        <f>3090.77-34.29</f>
        <v>3056.48</v>
      </c>
    </row>
    <row r="402" spans="1:9" x14ac:dyDescent="0.25">
      <c r="A402" s="48">
        <v>385</v>
      </c>
      <c r="B402" s="81" t="s">
        <v>38</v>
      </c>
      <c r="C402" s="29" t="s">
        <v>204</v>
      </c>
      <c r="D402" s="39" t="s">
        <v>124</v>
      </c>
      <c r="E402" s="39" t="s">
        <v>371</v>
      </c>
      <c r="F402" s="111">
        <v>800</v>
      </c>
      <c r="G402" s="18">
        <f>G404+G403</f>
        <v>94.23</v>
      </c>
      <c r="H402" s="18">
        <f t="shared" ref="H402:I402" si="167">H404</f>
        <v>3</v>
      </c>
      <c r="I402" s="18">
        <f t="shared" si="167"/>
        <v>3</v>
      </c>
    </row>
    <row r="403" spans="1:9" x14ac:dyDescent="0.25">
      <c r="A403" s="22">
        <v>386</v>
      </c>
      <c r="B403" s="80" t="s">
        <v>44</v>
      </c>
      <c r="C403" s="29" t="s">
        <v>204</v>
      </c>
      <c r="D403" s="39" t="s">
        <v>124</v>
      </c>
      <c r="E403" s="39" t="s">
        <v>371</v>
      </c>
      <c r="F403" s="111">
        <v>830</v>
      </c>
      <c r="G403" s="18">
        <v>75</v>
      </c>
      <c r="H403" s="18">
        <v>0</v>
      </c>
      <c r="I403" s="18">
        <v>0</v>
      </c>
    </row>
    <row r="404" spans="1:9" x14ac:dyDescent="0.25">
      <c r="A404" s="48">
        <v>387</v>
      </c>
      <c r="B404" s="81" t="s">
        <v>108</v>
      </c>
      <c r="C404" s="29" t="s">
        <v>204</v>
      </c>
      <c r="D404" s="39" t="s">
        <v>124</v>
      </c>
      <c r="E404" s="39" t="s">
        <v>371</v>
      </c>
      <c r="F404" s="111">
        <v>850</v>
      </c>
      <c r="G404" s="18">
        <f>3+16.23</f>
        <v>19.23</v>
      </c>
      <c r="H404" s="18">
        <v>3</v>
      </c>
      <c r="I404" s="18">
        <v>3</v>
      </c>
    </row>
    <row r="405" spans="1:9" ht="30" x14ac:dyDescent="0.25">
      <c r="A405" s="22">
        <v>388</v>
      </c>
      <c r="B405" s="112" t="s">
        <v>443</v>
      </c>
      <c r="C405" s="29" t="s">
        <v>204</v>
      </c>
      <c r="D405" s="39" t="s">
        <v>124</v>
      </c>
      <c r="E405" s="39" t="s">
        <v>460</v>
      </c>
      <c r="F405" s="111"/>
      <c r="G405" s="18">
        <f>G406</f>
        <v>3714.5</v>
      </c>
      <c r="H405" s="18">
        <f t="shared" ref="H405:I406" si="168">H406</f>
        <v>0</v>
      </c>
      <c r="I405" s="18">
        <f t="shared" si="168"/>
        <v>0</v>
      </c>
    </row>
    <row r="406" spans="1:9" ht="45" x14ac:dyDescent="0.25">
      <c r="A406" s="48">
        <v>389</v>
      </c>
      <c r="B406" s="81" t="s">
        <v>17</v>
      </c>
      <c r="C406" s="29" t="s">
        <v>204</v>
      </c>
      <c r="D406" s="39" t="s">
        <v>124</v>
      </c>
      <c r="E406" s="39" t="s">
        <v>460</v>
      </c>
      <c r="F406" s="111">
        <v>100</v>
      </c>
      <c r="G406" s="18">
        <f>G407</f>
        <v>3714.5</v>
      </c>
      <c r="H406" s="18">
        <f t="shared" si="168"/>
        <v>0</v>
      </c>
      <c r="I406" s="18">
        <f t="shared" si="168"/>
        <v>0</v>
      </c>
    </row>
    <row r="407" spans="1:9" x14ac:dyDescent="0.25">
      <c r="A407" s="22">
        <v>390</v>
      </c>
      <c r="B407" s="81" t="s">
        <v>73</v>
      </c>
      <c r="C407" s="29" t="s">
        <v>204</v>
      </c>
      <c r="D407" s="39" t="s">
        <v>124</v>
      </c>
      <c r="E407" s="39" t="s">
        <v>460</v>
      </c>
      <c r="F407" s="111">
        <v>110</v>
      </c>
      <c r="G407" s="18">
        <v>3714.5</v>
      </c>
      <c r="H407" s="18">
        <v>0</v>
      </c>
      <c r="I407" s="18">
        <v>0</v>
      </c>
    </row>
    <row r="408" spans="1:9" ht="60" x14ac:dyDescent="0.25">
      <c r="A408" s="48">
        <v>391</v>
      </c>
      <c r="B408" s="118" t="s">
        <v>556</v>
      </c>
      <c r="C408" s="29" t="s">
        <v>204</v>
      </c>
      <c r="D408" s="39" t="s">
        <v>124</v>
      </c>
      <c r="E408" s="39" t="s">
        <v>535</v>
      </c>
      <c r="F408" s="111"/>
      <c r="G408" s="18">
        <f>G409</f>
        <v>339.88</v>
      </c>
      <c r="H408" s="18">
        <f t="shared" ref="H408:I409" si="169">H409</f>
        <v>0</v>
      </c>
      <c r="I408" s="18">
        <f t="shared" si="169"/>
        <v>0</v>
      </c>
    </row>
    <row r="409" spans="1:9" ht="45" x14ac:dyDescent="0.25">
      <c r="A409" s="22">
        <v>392</v>
      </c>
      <c r="B409" s="81" t="s">
        <v>17</v>
      </c>
      <c r="C409" s="29" t="s">
        <v>204</v>
      </c>
      <c r="D409" s="39" t="s">
        <v>124</v>
      </c>
      <c r="E409" s="39" t="s">
        <v>535</v>
      </c>
      <c r="F409" s="111">
        <v>100</v>
      </c>
      <c r="G409" s="18">
        <f>G410</f>
        <v>339.88</v>
      </c>
      <c r="H409" s="18">
        <f t="shared" si="169"/>
        <v>0</v>
      </c>
      <c r="I409" s="18">
        <f t="shared" si="169"/>
        <v>0</v>
      </c>
    </row>
    <row r="410" spans="1:9" x14ac:dyDescent="0.25">
      <c r="A410" s="48">
        <v>393</v>
      </c>
      <c r="B410" s="81" t="s">
        <v>73</v>
      </c>
      <c r="C410" s="29" t="s">
        <v>204</v>
      </c>
      <c r="D410" s="39" t="s">
        <v>124</v>
      </c>
      <c r="E410" s="39" t="s">
        <v>535</v>
      </c>
      <c r="F410" s="111">
        <v>110</v>
      </c>
      <c r="G410" s="18">
        <v>339.88</v>
      </c>
      <c r="H410" s="18">
        <v>0</v>
      </c>
      <c r="I410" s="18">
        <v>0</v>
      </c>
    </row>
    <row r="411" spans="1:9" ht="30" x14ac:dyDescent="0.25">
      <c r="A411" s="22">
        <v>394</v>
      </c>
      <c r="B411" s="80" t="s">
        <v>458</v>
      </c>
      <c r="C411" s="29" t="s">
        <v>204</v>
      </c>
      <c r="D411" s="39" t="s">
        <v>124</v>
      </c>
      <c r="E411" s="39" t="s">
        <v>459</v>
      </c>
      <c r="F411" s="111"/>
      <c r="G411" s="18">
        <f>G412+G414</f>
        <v>971.73</v>
      </c>
      <c r="H411" s="18">
        <f t="shared" ref="H411:I411" si="170">H412+H414</f>
        <v>971.73</v>
      </c>
      <c r="I411" s="18">
        <f t="shared" si="170"/>
        <v>971.73</v>
      </c>
    </row>
    <row r="412" spans="1:9" ht="45" x14ac:dyDescent="0.25">
      <c r="A412" s="48">
        <v>395</v>
      </c>
      <c r="B412" s="81" t="s">
        <v>17</v>
      </c>
      <c r="C412" s="29" t="s">
        <v>204</v>
      </c>
      <c r="D412" s="39" t="s">
        <v>124</v>
      </c>
      <c r="E412" s="39" t="s">
        <v>459</v>
      </c>
      <c r="F412" s="111">
        <v>100</v>
      </c>
      <c r="G412" s="18">
        <f>G413</f>
        <v>937.44</v>
      </c>
      <c r="H412" s="18">
        <f t="shared" ref="H412:I412" si="171">H413</f>
        <v>937.44</v>
      </c>
      <c r="I412" s="18">
        <f t="shared" si="171"/>
        <v>937.44</v>
      </c>
    </row>
    <row r="413" spans="1:9" x14ac:dyDescent="0.25">
      <c r="A413" s="22">
        <v>396</v>
      </c>
      <c r="B413" s="81" t="s">
        <v>73</v>
      </c>
      <c r="C413" s="29" t="s">
        <v>204</v>
      </c>
      <c r="D413" s="39" t="s">
        <v>124</v>
      </c>
      <c r="E413" s="39" t="s">
        <v>459</v>
      </c>
      <c r="F413" s="111">
        <v>110</v>
      </c>
      <c r="G413" s="18">
        <v>937.44</v>
      </c>
      <c r="H413" s="18">
        <v>937.44</v>
      </c>
      <c r="I413" s="18">
        <v>937.44</v>
      </c>
    </row>
    <row r="414" spans="1:9" x14ac:dyDescent="0.25">
      <c r="A414" s="48">
        <v>397</v>
      </c>
      <c r="B414" s="81" t="s">
        <v>23</v>
      </c>
      <c r="C414" s="29" t="s">
        <v>204</v>
      </c>
      <c r="D414" s="39" t="s">
        <v>124</v>
      </c>
      <c r="E414" s="39" t="s">
        <v>459</v>
      </c>
      <c r="F414" s="111">
        <v>200</v>
      </c>
      <c r="G414" s="18">
        <f>G415</f>
        <v>34.29</v>
      </c>
      <c r="H414" s="18">
        <f t="shared" ref="H414:I414" si="172">H415</f>
        <v>34.29</v>
      </c>
      <c r="I414" s="18">
        <f t="shared" si="172"/>
        <v>34.29</v>
      </c>
    </row>
    <row r="415" spans="1:9" x14ac:dyDescent="0.25">
      <c r="A415" s="22">
        <v>398</v>
      </c>
      <c r="B415" s="81" t="s">
        <v>24</v>
      </c>
      <c r="C415" s="29" t="s">
        <v>204</v>
      </c>
      <c r="D415" s="39" t="s">
        <v>124</v>
      </c>
      <c r="E415" s="39" t="s">
        <v>459</v>
      </c>
      <c r="F415" s="111">
        <v>240</v>
      </c>
      <c r="G415" s="18">
        <v>34.29</v>
      </c>
      <c r="H415" s="18">
        <v>34.29</v>
      </c>
      <c r="I415" s="18">
        <v>34.29</v>
      </c>
    </row>
    <row r="416" spans="1:9" ht="36" customHeight="1" x14ac:dyDescent="0.25">
      <c r="A416" s="48">
        <v>399</v>
      </c>
      <c r="B416" s="55" t="s">
        <v>312</v>
      </c>
      <c r="C416" s="51" t="s">
        <v>204</v>
      </c>
      <c r="D416" s="48"/>
      <c r="E416" s="48"/>
      <c r="F416" s="48"/>
      <c r="G416" s="56">
        <f t="shared" ref="G416:G422" si="173">G417</f>
        <v>2037.29</v>
      </c>
      <c r="H416" s="56">
        <f t="shared" ref="H416:I416" si="174">H417</f>
        <v>1493.33</v>
      </c>
      <c r="I416" s="56">
        <f t="shared" si="174"/>
        <v>1493.33</v>
      </c>
    </row>
    <row r="417" spans="1:11" x14ac:dyDescent="0.25">
      <c r="A417" s="22">
        <v>400</v>
      </c>
      <c r="B417" s="57" t="s">
        <v>115</v>
      </c>
      <c r="C417" s="29" t="s">
        <v>204</v>
      </c>
      <c r="D417" s="39" t="s">
        <v>116</v>
      </c>
      <c r="E417" s="111"/>
      <c r="F417" s="111"/>
      <c r="G417" s="30">
        <f t="shared" si="173"/>
        <v>2037.29</v>
      </c>
      <c r="H417" s="30">
        <f t="shared" ref="H417:I419" si="175">H418</f>
        <v>1493.33</v>
      </c>
      <c r="I417" s="30">
        <f t="shared" si="175"/>
        <v>1493.33</v>
      </c>
    </row>
    <row r="418" spans="1:11" x14ac:dyDescent="0.25">
      <c r="A418" s="48">
        <v>401</v>
      </c>
      <c r="B418" s="112" t="s">
        <v>41</v>
      </c>
      <c r="C418" s="29" t="s">
        <v>204</v>
      </c>
      <c r="D418" s="39" t="s">
        <v>124</v>
      </c>
      <c r="E418" s="111"/>
      <c r="F418" s="111"/>
      <c r="G418" s="30">
        <f t="shared" si="173"/>
        <v>2037.29</v>
      </c>
      <c r="H418" s="30">
        <f t="shared" si="175"/>
        <v>1493.33</v>
      </c>
      <c r="I418" s="30">
        <f t="shared" si="175"/>
        <v>1493.33</v>
      </c>
    </row>
    <row r="419" spans="1:11" x14ac:dyDescent="0.25">
      <c r="A419" s="22">
        <v>402</v>
      </c>
      <c r="B419" s="117" t="s">
        <v>370</v>
      </c>
      <c r="C419" s="29" t="s">
        <v>204</v>
      </c>
      <c r="D419" s="39" t="s">
        <v>124</v>
      </c>
      <c r="E419" s="111">
        <v>9100000000</v>
      </c>
      <c r="F419" s="111"/>
      <c r="G419" s="18">
        <f t="shared" si="173"/>
        <v>2037.29</v>
      </c>
      <c r="H419" s="18">
        <f t="shared" si="175"/>
        <v>1493.33</v>
      </c>
      <c r="I419" s="18">
        <f t="shared" si="175"/>
        <v>1493.33</v>
      </c>
    </row>
    <row r="420" spans="1:11" x14ac:dyDescent="0.25">
      <c r="A420" s="48">
        <v>403</v>
      </c>
      <c r="B420" s="112" t="s">
        <v>372</v>
      </c>
      <c r="C420" s="29" t="s">
        <v>204</v>
      </c>
      <c r="D420" s="39" t="s">
        <v>124</v>
      </c>
      <c r="E420" s="111">
        <v>9120000000</v>
      </c>
      <c r="F420" s="111"/>
      <c r="G420" s="18">
        <f>G421+G428</f>
        <v>2037.29</v>
      </c>
      <c r="H420" s="18">
        <f t="shared" ref="H420:I420" si="176">H421+H428</f>
        <v>1493.33</v>
      </c>
      <c r="I420" s="18">
        <f t="shared" si="176"/>
        <v>1493.33</v>
      </c>
    </row>
    <row r="421" spans="1:11" x14ac:dyDescent="0.25">
      <c r="A421" s="22">
        <v>404</v>
      </c>
      <c r="B421" s="112" t="s">
        <v>401</v>
      </c>
      <c r="C421" s="29" t="s">
        <v>204</v>
      </c>
      <c r="D421" s="39" t="s">
        <v>124</v>
      </c>
      <c r="E421" s="111">
        <v>9120000610</v>
      </c>
      <c r="F421" s="111"/>
      <c r="G421" s="18">
        <f>G422+G424+G426</f>
        <v>2023.33</v>
      </c>
      <c r="H421" s="18">
        <f t="shared" ref="H421:I421" si="177">H422</f>
        <v>1493.33</v>
      </c>
      <c r="I421" s="18">
        <f t="shared" si="177"/>
        <v>1493.33</v>
      </c>
    </row>
    <row r="422" spans="1:11" ht="45" x14ac:dyDescent="0.25">
      <c r="A422" s="48">
        <v>405</v>
      </c>
      <c r="B422" s="81" t="s">
        <v>17</v>
      </c>
      <c r="C422" s="29" t="s">
        <v>204</v>
      </c>
      <c r="D422" s="39" t="s">
        <v>124</v>
      </c>
      <c r="E422" s="111">
        <v>9120000610</v>
      </c>
      <c r="F422" s="111">
        <v>100</v>
      </c>
      <c r="G422" s="18">
        <f t="shared" si="173"/>
        <v>1762.47</v>
      </c>
      <c r="H422" s="18">
        <f t="shared" ref="H422:I422" si="178">H423</f>
        <v>1493.33</v>
      </c>
      <c r="I422" s="18">
        <f t="shared" si="178"/>
        <v>1493.33</v>
      </c>
    </row>
    <row r="423" spans="1:11" x14ac:dyDescent="0.25">
      <c r="A423" s="22">
        <v>406</v>
      </c>
      <c r="B423" s="81" t="s">
        <v>73</v>
      </c>
      <c r="C423" s="29" t="s">
        <v>204</v>
      </c>
      <c r="D423" s="39" t="s">
        <v>124</v>
      </c>
      <c r="E423" s="111">
        <v>9120000610</v>
      </c>
      <c r="F423" s="111">
        <v>110</v>
      </c>
      <c r="G423" s="18">
        <f>1493.33-46+10+25.14+280</f>
        <v>1762.47</v>
      </c>
      <c r="H423" s="18">
        <v>1493.33</v>
      </c>
      <c r="I423" s="18">
        <v>1493.33</v>
      </c>
      <c r="K423" s="73">
        <v>280</v>
      </c>
    </row>
    <row r="424" spans="1:11" x14ac:dyDescent="0.25">
      <c r="A424" s="48">
        <v>407</v>
      </c>
      <c r="B424" s="81" t="s">
        <v>23</v>
      </c>
      <c r="C424" s="29" t="s">
        <v>204</v>
      </c>
      <c r="D424" s="39" t="s">
        <v>124</v>
      </c>
      <c r="E424" s="111">
        <v>9120000610</v>
      </c>
      <c r="F424" s="111">
        <v>200</v>
      </c>
      <c r="G424" s="18">
        <f>G425</f>
        <v>257.86</v>
      </c>
      <c r="H424" s="18">
        <f t="shared" ref="H424:I424" si="179">H425</f>
        <v>0</v>
      </c>
      <c r="I424" s="18">
        <f t="shared" si="179"/>
        <v>0</v>
      </c>
    </row>
    <row r="425" spans="1:11" x14ac:dyDescent="0.25">
      <c r="A425" s="22">
        <v>408</v>
      </c>
      <c r="B425" s="81" t="s">
        <v>24</v>
      </c>
      <c r="C425" s="29" t="s">
        <v>204</v>
      </c>
      <c r="D425" s="39" t="s">
        <v>124</v>
      </c>
      <c r="E425" s="111">
        <v>9120000610</v>
      </c>
      <c r="F425" s="111">
        <v>240</v>
      </c>
      <c r="G425" s="18">
        <f>43+140-25.14+100</f>
        <v>257.86</v>
      </c>
      <c r="H425" s="18">
        <v>0</v>
      </c>
      <c r="I425" s="18">
        <v>0</v>
      </c>
    </row>
    <row r="426" spans="1:11" x14ac:dyDescent="0.25">
      <c r="A426" s="48">
        <v>409</v>
      </c>
      <c r="B426" s="81" t="s">
        <v>38</v>
      </c>
      <c r="C426" s="29" t="s">
        <v>204</v>
      </c>
      <c r="D426" s="39" t="s">
        <v>124</v>
      </c>
      <c r="E426" s="111">
        <v>9120000610</v>
      </c>
      <c r="F426" s="111">
        <v>800</v>
      </c>
      <c r="G426" s="18">
        <f>G427</f>
        <v>3</v>
      </c>
      <c r="H426" s="18">
        <f t="shared" ref="H426:I426" si="180">H427</f>
        <v>0</v>
      </c>
      <c r="I426" s="18">
        <f t="shared" si="180"/>
        <v>0</v>
      </c>
    </row>
    <row r="427" spans="1:11" x14ac:dyDescent="0.25">
      <c r="A427" s="22">
        <v>410</v>
      </c>
      <c r="B427" s="81" t="s">
        <v>108</v>
      </c>
      <c r="C427" s="29" t="s">
        <v>204</v>
      </c>
      <c r="D427" s="39" t="s">
        <v>124</v>
      </c>
      <c r="E427" s="111">
        <v>9120000610</v>
      </c>
      <c r="F427" s="111">
        <v>850</v>
      </c>
      <c r="G427" s="18">
        <v>3</v>
      </c>
      <c r="H427" s="18">
        <v>0</v>
      </c>
      <c r="I427" s="18">
        <v>0</v>
      </c>
    </row>
    <row r="428" spans="1:11" ht="60" x14ac:dyDescent="0.25">
      <c r="A428" s="48">
        <v>411</v>
      </c>
      <c r="B428" s="118" t="s">
        <v>556</v>
      </c>
      <c r="C428" s="29" t="s">
        <v>204</v>
      </c>
      <c r="D428" s="39" t="s">
        <v>124</v>
      </c>
      <c r="E428" s="111">
        <v>9120010380</v>
      </c>
      <c r="F428" s="111"/>
      <c r="G428" s="18">
        <f>G429</f>
        <v>13.96</v>
      </c>
      <c r="H428" s="18">
        <f t="shared" ref="H428:I429" si="181">H429</f>
        <v>0</v>
      </c>
      <c r="I428" s="18">
        <f t="shared" si="181"/>
        <v>0</v>
      </c>
    </row>
    <row r="429" spans="1:11" ht="45" x14ac:dyDescent="0.25">
      <c r="A429" s="22">
        <v>412</v>
      </c>
      <c r="B429" s="81" t="s">
        <v>17</v>
      </c>
      <c r="C429" s="29" t="s">
        <v>204</v>
      </c>
      <c r="D429" s="39" t="s">
        <v>124</v>
      </c>
      <c r="E429" s="111">
        <v>9120010380</v>
      </c>
      <c r="F429" s="111">
        <v>100</v>
      </c>
      <c r="G429" s="18">
        <f>G430</f>
        <v>13.96</v>
      </c>
      <c r="H429" s="18">
        <f t="shared" si="181"/>
        <v>0</v>
      </c>
      <c r="I429" s="18">
        <f t="shared" si="181"/>
        <v>0</v>
      </c>
    </row>
    <row r="430" spans="1:11" x14ac:dyDescent="0.25">
      <c r="A430" s="48">
        <v>413</v>
      </c>
      <c r="B430" s="81" t="s">
        <v>73</v>
      </c>
      <c r="C430" s="29" t="s">
        <v>204</v>
      </c>
      <c r="D430" s="39" t="s">
        <v>124</v>
      </c>
      <c r="E430" s="111">
        <v>9120010380</v>
      </c>
      <c r="F430" s="111">
        <v>110</v>
      </c>
      <c r="G430" s="18">
        <v>13.96</v>
      </c>
      <c r="H430" s="18">
        <v>0</v>
      </c>
      <c r="I430" s="18">
        <v>0</v>
      </c>
    </row>
    <row r="431" spans="1:11" ht="39" customHeight="1" x14ac:dyDescent="0.25">
      <c r="A431" s="22">
        <v>414</v>
      </c>
      <c r="B431" s="55" t="s">
        <v>377</v>
      </c>
      <c r="C431" s="51" t="s">
        <v>204</v>
      </c>
      <c r="D431" s="48"/>
      <c r="E431" s="48"/>
      <c r="F431" s="48"/>
      <c r="G431" s="56">
        <f>G432</f>
        <v>10892.679999999998</v>
      </c>
      <c r="H431" s="56">
        <f t="shared" ref="H431:I431" si="182">H432</f>
        <v>8955.36</v>
      </c>
      <c r="I431" s="56">
        <f t="shared" si="182"/>
        <v>8955.36</v>
      </c>
    </row>
    <row r="432" spans="1:11" x14ac:dyDescent="0.25">
      <c r="A432" s="48">
        <v>415</v>
      </c>
      <c r="B432" s="74" t="s">
        <v>115</v>
      </c>
      <c r="C432" s="29" t="s">
        <v>204</v>
      </c>
      <c r="D432" s="39" t="s">
        <v>116</v>
      </c>
      <c r="E432" s="111"/>
      <c r="F432" s="111"/>
      <c r="G432" s="30">
        <f>G433</f>
        <v>10892.679999999998</v>
      </c>
      <c r="H432" s="30">
        <f t="shared" ref="H432:I433" si="183">H433</f>
        <v>8955.36</v>
      </c>
      <c r="I432" s="30">
        <f t="shared" si="183"/>
        <v>8955.36</v>
      </c>
    </row>
    <row r="433" spans="1:12" x14ac:dyDescent="0.25">
      <c r="A433" s="22">
        <v>416</v>
      </c>
      <c r="B433" s="112" t="s">
        <v>41</v>
      </c>
      <c r="C433" s="29" t="s">
        <v>204</v>
      </c>
      <c r="D433" s="39" t="s">
        <v>124</v>
      </c>
      <c r="E433" s="111"/>
      <c r="F433" s="111"/>
      <c r="G433" s="30">
        <f>G434</f>
        <v>10892.679999999998</v>
      </c>
      <c r="H433" s="30">
        <f t="shared" si="183"/>
        <v>8955.36</v>
      </c>
      <c r="I433" s="30">
        <f t="shared" si="183"/>
        <v>8955.36</v>
      </c>
    </row>
    <row r="434" spans="1:12" x14ac:dyDescent="0.25">
      <c r="A434" s="48">
        <v>417</v>
      </c>
      <c r="B434" s="112" t="s">
        <v>370</v>
      </c>
      <c r="C434" s="29" t="s">
        <v>204</v>
      </c>
      <c r="D434" s="39" t="s">
        <v>124</v>
      </c>
      <c r="E434" s="111">
        <v>9100000000</v>
      </c>
      <c r="F434" s="111"/>
      <c r="G434" s="30">
        <f>G435+G449</f>
        <v>10892.679999999998</v>
      </c>
      <c r="H434" s="30">
        <f t="shared" ref="H434:I434" si="184">H436+H451+H454</f>
        <v>8955.36</v>
      </c>
      <c r="I434" s="30">
        <f t="shared" si="184"/>
        <v>8955.36</v>
      </c>
    </row>
    <row r="435" spans="1:12" x14ac:dyDescent="0.25">
      <c r="A435" s="22">
        <v>418</v>
      </c>
      <c r="B435" s="112" t="s">
        <v>378</v>
      </c>
      <c r="C435" s="29" t="s">
        <v>204</v>
      </c>
      <c r="D435" s="39" t="s">
        <v>124</v>
      </c>
      <c r="E435" s="111">
        <v>9150000000</v>
      </c>
      <c r="F435" s="111"/>
      <c r="G435" s="30">
        <f>G436+G443+G446</f>
        <v>10106.179999999998</v>
      </c>
      <c r="H435" s="30">
        <f t="shared" ref="H435:I435" si="185">H436</f>
        <v>7755.36</v>
      </c>
      <c r="I435" s="30">
        <f t="shared" si="185"/>
        <v>7755.36</v>
      </c>
    </row>
    <row r="436" spans="1:12" x14ac:dyDescent="0.25">
      <c r="A436" s="48">
        <v>419</v>
      </c>
      <c r="B436" s="112" t="s">
        <v>195</v>
      </c>
      <c r="C436" s="29" t="s">
        <v>204</v>
      </c>
      <c r="D436" s="39" t="s">
        <v>124</v>
      </c>
      <c r="E436" s="111">
        <v>9150000620</v>
      </c>
      <c r="F436" s="111"/>
      <c r="G436" s="18">
        <f>G437+G439+G441</f>
        <v>9939.0399999999991</v>
      </c>
      <c r="H436" s="18">
        <f t="shared" ref="H436:I436" si="186">H437+H439+H441</f>
        <v>7755.36</v>
      </c>
      <c r="I436" s="18">
        <f t="shared" si="186"/>
        <v>7755.36</v>
      </c>
    </row>
    <row r="437" spans="1:12" ht="45" x14ac:dyDescent="0.25">
      <c r="A437" s="22">
        <v>420</v>
      </c>
      <c r="B437" s="81" t="s">
        <v>17</v>
      </c>
      <c r="C437" s="29" t="s">
        <v>204</v>
      </c>
      <c r="D437" s="39" t="s">
        <v>124</v>
      </c>
      <c r="E437" s="111">
        <v>9150000620</v>
      </c>
      <c r="F437" s="111">
        <v>100</v>
      </c>
      <c r="G437" s="18">
        <f>G438</f>
        <v>6401.9339999999993</v>
      </c>
      <c r="H437" s="18">
        <f t="shared" ref="H437:I437" si="187">H438</f>
        <v>6358.86</v>
      </c>
      <c r="I437" s="18">
        <f t="shared" si="187"/>
        <v>6358.86</v>
      </c>
    </row>
    <row r="438" spans="1:12" x14ac:dyDescent="0.25">
      <c r="A438" s="48">
        <v>421</v>
      </c>
      <c r="B438" s="81" t="s">
        <v>73</v>
      </c>
      <c r="C438" s="29" t="s">
        <v>204</v>
      </c>
      <c r="D438" s="39" t="s">
        <v>124</v>
      </c>
      <c r="E438" s="111">
        <v>9150000620</v>
      </c>
      <c r="F438" s="111">
        <v>110</v>
      </c>
      <c r="G438" s="18">
        <f>6358.86+26.22-150.85-50+150+67.704</f>
        <v>6401.9339999999993</v>
      </c>
      <c r="H438" s="18">
        <v>6358.86</v>
      </c>
      <c r="I438" s="18">
        <v>6358.86</v>
      </c>
      <c r="K438" s="73">
        <v>150</v>
      </c>
      <c r="L438" s="134">
        <v>67.703999999999994</v>
      </c>
    </row>
    <row r="439" spans="1:12" x14ac:dyDescent="0.25">
      <c r="A439" s="22">
        <v>422</v>
      </c>
      <c r="B439" s="81" t="s">
        <v>23</v>
      </c>
      <c r="C439" s="29" t="s">
        <v>204</v>
      </c>
      <c r="D439" s="39" t="s">
        <v>124</v>
      </c>
      <c r="E439" s="111">
        <v>9150000620</v>
      </c>
      <c r="F439" s="111">
        <v>200</v>
      </c>
      <c r="G439" s="18">
        <f>G440</f>
        <v>3506.2559999999999</v>
      </c>
      <c r="H439" s="18">
        <f t="shared" ref="H439:I439" si="188">H440</f>
        <v>1366.5</v>
      </c>
      <c r="I439" s="18">
        <f t="shared" si="188"/>
        <v>1366.5</v>
      </c>
    </row>
    <row r="440" spans="1:12" x14ac:dyDescent="0.25">
      <c r="A440" s="48">
        <v>423</v>
      </c>
      <c r="B440" s="81" t="s">
        <v>24</v>
      </c>
      <c r="C440" s="29" t="s">
        <v>204</v>
      </c>
      <c r="D440" s="39" t="s">
        <v>124</v>
      </c>
      <c r="E440" s="111">
        <v>9150000620</v>
      </c>
      <c r="F440" s="111">
        <v>240</v>
      </c>
      <c r="G440" s="18">
        <f>1366.5+2305.46+150-300-15.704</f>
        <v>3506.2559999999999</v>
      </c>
      <c r="H440" s="18">
        <v>1366.5</v>
      </c>
      <c r="I440" s="18">
        <v>1366.5</v>
      </c>
      <c r="K440" s="73">
        <v>-300</v>
      </c>
      <c r="L440" s="134">
        <v>-15.704000000000001</v>
      </c>
    </row>
    <row r="441" spans="1:12" x14ac:dyDescent="0.25">
      <c r="A441" s="22">
        <v>424</v>
      </c>
      <c r="B441" s="81" t="s">
        <v>38</v>
      </c>
      <c r="C441" s="29" t="s">
        <v>204</v>
      </c>
      <c r="D441" s="39" t="s">
        <v>124</v>
      </c>
      <c r="E441" s="111">
        <v>9150000620</v>
      </c>
      <c r="F441" s="111">
        <v>800</v>
      </c>
      <c r="G441" s="18">
        <f>G442</f>
        <v>30.85</v>
      </c>
      <c r="H441" s="18">
        <f t="shared" ref="H441:I441" si="189">H442</f>
        <v>30</v>
      </c>
      <c r="I441" s="18">
        <f t="shared" si="189"/>
        <v>30</v>
      </c>
    </row>
    <row r="442" spans="1:12" x14ac:dyDescent="0.25">
      <c r="A442" s="48">
        <v>425</v>
      </c>
      <c r="B442" s="81" t="s">
        <v>108</v>
      </c>
      <c r="C442" s="29" t="s">
        <v>204</v>
      </c>
      <c r="D442" s="39" t="s">
        <v>124</v>
      </c>
      <c r="E442" s="111">
        <v>9150000620</v>
      </c>
      <c r="F442" s="111">
        <v>850</v>
      </c>
      <c r="G442" s="18">
        <f>30+0.85</f>
        <v>30.85</v>
      </c>
      <c r="H442" s="18">
        <v>30</v>
      </c>
      <c r="I442" s="18">
        <v>30</v>
      </c>
    </row>
    <row r="443" spans="1:12" ht="60" x14ac:dyDescent="0.25">
      <c r="A443" s="22">
        <v>426</v>
      </c>
      <c r="B443" s="118" t="s">
        <v>556</v>
      </c>
      <c r="C443" s="29" t="s">
        <v>204</v>
      </c>
      <c r="D443" s="39" t="s">
        <v>124</v>
      </c>
      <c r="E443" s="111">
        <v>9150010380</v>
      </c>
      <c r="F443" s="111"/>
      <c r="G443" s="18">
        <f>G444</f>
        <v>69.14</v>
      </c>
      <c r="H443" s="18">
        <f t="shared" ref="H443:I444" si="190">H444</f>
        <v>0</v>
      </c>
      <c r="I443" s="18">
        <f t="shared" si="190"/>
        <v>0</v>
      </c>
    </row>
    <row r="444" spans="1:12" ht="45" x14ac:dyDescent="0.25">
      <c r="A444" s="48">
        <v>427</v>
      </c>
      <c r="B444" s="81" t="s">
        <v>17</v>
      </c>
      <c r="C444" s="29" t="s">
        <v>204</v>
      </c>
      <c r="D444" s="39" t="s">
        <v>124</v>
      </c>
      <c r="E444" s="111">
        <v>9150010380</v>
      </c>
      <c r="F444" s="111">
        <v>100</v>
      </c>
      <c r="G444" s="18">
        <f>G445</f>
        <v>69.14</v>
      </c>
      <c r="H444" s="18">
        <f t="shared" si="190"/>
        <v>0</v>
      </c>
      <c r="I444" s="18">
        <f t="shared" si="190"/>
        <v>0</v>
      </c>
    </row>
    <row r="445" spans="1:12" x14ac:dyDescent="0.25">
      <c r="A445" s="22">
        <v>428</v>
      </c>
      <c r="B445" s="81" t="s">
        <v>73</v>
      </c>
      <c r="C445" s="29" t="s">
        <v>204</v>
      </c>
      <c r="D445" s="39" t="s">
        <v>124</v>
      </c>
      <c r="E445" s="111">
        <v>9150010380</v>
      </c>
      <c r="F445" s="111">
        <v>110</v>
      </c>
      <c r="G445" s="18">
        <v>69.14</v>
      </c>
      <c r="H445" s="18">
        <v>0</v>
      </c>
      <c r="I445" s="18">
        <v>0</v>
      </c>
    </row>
    <row r="446" spans="1:12" x14ac:dyDescent="0.25">
      <c r="A446" s="48">
        <v>429</v>
      </c>
      <c r="B446" s="80" t="s">
        <v>561</v>
      </c>
      <c r="C446" s="29" t="s">
        <v>204</v>
      </c>
      <c r="D446" s="39" t="s">
        <v>124</v>
      </c>
      <c r="E446" s="111">
        <v>9150084580</v>
      </c>
      <c r="F446" s="111"/>
      <c r="G446" s="18">
        <f>G447</f>
        <v>98</v>
      </c>
      <c r="H446" s="18">
        <f t="shared" ref="H446:I447" si="191">H447</f>
        <v>0</v>
      </c>
      <c r="I446" s="18">
        <f t="shared" si="191"/>
        <v>0</v>
      </c>
    </row>
    <row r="447" spans="1:12" x14ac:dyDescent="0.25">
      <c r="A447" s="22">
        <v>430</v>
      </c>
      <c r="B447" s="81" t="s">
        <v>23</v>
      </c>
      <c r="C447" s="29" t="s">
        <v>204</v>
      </c>
      <c r="D447" s="39" t="s">
        <v>124</v>
      </c>
      <c r="E447" s="111">
        <v>9150084580</v>
      </c>
      <c r="F447" s="111">
        <v>200</v>
      </c>
      <c r="G447" s="18">
        <f>G448</f>
        <v>98</v>
      </c>
      <c r="H447" s="18">
        <f t="shared" si="191"/>
        <v>0</v>
      </c>
      <c r="I447" s="18">
        <f t="shared" si="191"/>
        <v>0</v>
      </c>
    </row>
    <row r="448" spans="1:12" x14ac:dyDescent="0.25">
      <c r="A448" s="48">
        <v>431</v>
      </c>
      <c r="B448" s="81" t="s">
        <v>24</v>
      </c>
      <c r="C448" s="29" t="s">
        <v>204</v>
      </c>
      <c r="D448" s="39" t="s">
        <v>124</v>
      </c>
      <c r="E448" s="111">
        <v>9150084580</v>
      </c>
      <c r="F448" s="111">
        <v>240</v>
      </c>
      <c r="G448" s="18">
        <f>150-52</f>
        <v>98</v>
      </c>
      <c r="H448" s="18">
        <v>0</v>
      </c>
      <c r="I448" s="18">
        <v>0</v>
      </c>
      <c r="K448" s="134">
        <v>-52</v>
      </c>
    </row>
    <row r="449" spans="1:11" x14ac:dyDescent="0.25">
      <c r="A449" s="22">
        <v>432</v>
      </c>
      <c r="B449" s="80" t="s">
        <v>376</v>
      </c>
      <c r="C449" s="29" t="s">
        <v>204</v>
      </c>
      <c r="D449" s="39" t="s">
        <v>124</v>
      </c>
      <c r="E449" s="39" t="s">
        <v>235</v>
      </c>
      <c r="F449" s="111"/>
      <c r="G449" s="18">
        <f>G450</f>
        <v>786.5</v>
      </c>
      <c r="H449" s="18">
        <f t="shared" ref="H449:I449" si="192">H450</f>
        <v>1200</v>
      </c>
      <c r="I449" s="18">
        <f t="shared" si="192"/>
        <v>1200</v>
      </c>
    </row>
    <row r="450" spans="1:11" x14ac:dyDescent="0.25">
      <c r="A450" s="48">
        <v>433</v>
      </c>
      <c r="B450" s="80" t="s">
        <v>379</v>
      </c>
      <c r="C450" s="29" t="s">
        <v>204</v>
      </c>
      <c r="D450" s="39" t="s">
        <v>124</v>
      </c>
      <c r="E450" s="39" t="s">
        <v>236</v>
      </c>
      <c r="F450" s="111"/>
      <c r="G450" s="18">
        <f>G451+G454</f>
        <v>786.5</v>
      </c>
      <c r="H450" s="18">
        <f t="shared" ref="H450:I450" si="193">H451+H454</f>
        <v>1200</v>
      </c>
      <c r="I450" s="18">
        <f t="shared" si="193"/>
        <v>1200</v>
      </c>
    </row>
    <row r="451" spans="1:11" ht="30" x14ac:dyDescent="0.25">
      <c r="A451" s="22">
        <v>434</v>
      </c>
      <c r="B451" s="112" t="s">
        <v>439</v>
      </c>
      <c r="C451" s="29" t="s">
        <v>204</v>
      </c>
      <c r="D451" s="39" t="s">
        <v>124</v>
      </c>
      <c r="E451" s="39" t="s">
        <v>380</v>
      </c>
      <c r="F451" s="111"/>
      <c r="G451" s="18">
        <f>G452</f>
        <v>581</v>
      </c>
      <c r="H451" s="18">
        <f t="shared" ref="H451:I452" si="194">H452</f>
        <v>600</v>
      </c>
      <c r="I451" s="18">
        <f t="shared" si="194"/>
        <v>600</v>
      </c>
    </row>
    <row r="452" spans="1:11" x14ac:dyDescent="0.25">
      <c r="A452" s="48">
        <v>435</v>
      </c>
      <c r="B452" s="81" t="s">
        <v>23</v>
      </c>
      <c r="C452" s="29" t="s">
        <v>204</v>
      </c>
      <c r="D452" s="39" t="s">
        <v>124</v>
      </c>
      <c r="E452" s="39" t="s">
        <v>380</v>
      </c>
      <c r="F452" s="111">
        <v>200</v>
      </c>
      <c r="G452" s="18">
        <f>G453</f>
        <v>581</v>
      </c>
      <c r="H452" s="18">
        <f t="shared" si="194"/>
        <v>600</v>
      </c>
      <c r="I452" s="18">
        <f t="shared" si="194"/>
        <v>600</v>
      </c>
    </row>
    <row r="453" spans="1:11" x14ac:dyDescent="0.25">
      <c r="A453" s="22">
        <v>436</v>
      </c>
      <c r="B453" s="81" t="s">
        <v>24</v>
      </c>
      <c r="C453" s="29" t="s">
        <v>204</v>
      </c>
      <c r="D453" s="39" t="s">
        <v>124</v>
      </c>
      <c r="E453" s="39" t="s">
        <v>380</v>
      </c>
      <c r="F453" s="111">
        <v>240</v>
      </c>
      <c r="G453" s="18">
        <f>600-19</f>
        <v>581</v>
      </c>
      <c r="H453" s="18">
        <v>600</v>
      </c>
      <c r="I453" s="18">
        <v>600</v>
      </c>
    </row>
    <row r="454" spans="1:11" x14ac:dyDescent="0.25">
      <c r="A454" s="48">
        <v>437</v>
      </c>
      <c r="B454" s="112" t="s">
        <v>440</v>
      </c>
      <c r="C454" s="29" t="s">
        <v>204</v>
      </c>
      <c r="D454" s="39" t="s">
        <v>124</v>
      </c>
      <c r="E454" s="39" t="s">
        <v>381</v>
      </c>
      <c r="F454" s="111"/>
      <c r="G454" s="18">
        <f>G455</f>
        <v>205.5</v>
      </c>
      <c r="H454" s="18">
        <f t="shared" ref="H454:I455" si="195">H455</f>
        <v>600</v>
      </c>
      <c r="I454" s="18">
        <f t="shared" si="195"/>
        <v>600</v>
      </c>
    </row>
    <row r="455" spans="1:11" x14ac:dyDescent="0.25">
      <c r="A455" s="22">
        <v>438</v>
      </c>
      <c r="B455" s="81" t="s">
        <v>23</v>
      </c>
      <c r="C455" s="29" t="s">
        <v>204</v>
      </c>
      <c r="D455" s="39" t="s">
        <v>124</v>
      </c>
      <c r="E455" s="39" t="s">
        <v>381</v>
      </c>
      <c r="F455" s="111">
        <v>200</v>
      </c>
      <c r="G455" s="18">
        <f>G456</f>
        <v>205.5</v>
      </c>
      <c r="H455" s="18">
        <f t="shared" si="195"/>
        <v>600</v>
      </c>
      <c r="I455" s="18">
        <f t="shared" si="195"/>
        <v>600</v>
      </c>
    </row>
    <row r="456" spans="1:11" x14ac:dyDescent="0.25">
      <c r="A456" s="48">
        <v>439</v>
      </c>
      <c r="B456" s="81" t="s">
        <v>24</v>
      </c>
      <c r="C456" s="29" t="s">
        <v>204</v>
      </c>
      <c r="D456" s="39" t="s">
        <v>124</v>
      </c>
      <c r="E456" s="39" t="s">
        <v>381</v>
      </c>
      <c r="F456" s="111">
        <v>240</v>
      </c>
      <c r="G456" s="18">
        <f>600-300-94.5</f>
        <v>205.5</v>
      </c>
      <c r="H456" s="18">
        <v>600</v>
      </c>
      <c r="I456" s="18">
        <v>600</v>
      </c>
      <c r="K456" s="73">
        <v>-94.5</v>
      </c>
    </row>
    <row r="457" spans="1:11" ht="35.25" customHeight="1" x14ac:dyDescent="0.25">
      <c r="A457" s="22">
        <v>440</v>
      </c>
      <c r="B457" s="53" t="s">
        <v>313</v>
      </c>
      <c r="C457" s="50">
        <v>951</v>
      </c>
      <c r="D457" s="46"/>
      <c r="E457" s="46"/>
      <c r="F457" s="46"/>
      <c r="G457" s="47">
        <f>G458+G565</f>
        <v>511770.54799999995</v>
      </c>
      <c r="H457" s="47">
        <f>H458+H565</f>
        <v>470732.87999999995</v>
      </c>
      <c r="I457" s="47">
        <f>I458+I565</f>
        <v>470732.87999999995</v>
      </c>
    </row>
    <row r="458" spans="1:11" x14ac:dyDescent="0.25">
      <c r="A458" s="48">
        <v>441</v>
      </c>
      <c r="B458" s="57" t="s">
        <v>143</v>
      </c>
      <c r="C458" s="23">
        <v>951</v>
      </c>
      <c r="D458" s="23" t="s">
        <v>144</v>
      </c>
      <c r="E458" s="22"/>
      <c r="F458" s="22"/>
      <c r="G458" s="18">
        <f>G459+G480+G522+G543</f>
        <v>502607.44799999997</v>
      </c>
      <c r="H458" s="18">
        <f>H459+H480+H522+H543</f>
        <v>461569.77999999997</v>
      </c>
      <c r="I458" s="18">
        <f>I459+I480+I522+I543</f>
        <v>461569.77999999997</v>
      </c>
    </row>
    <row r="459" spans="1:11" x14ac:dyDescent="0.25">
      <c r="A459" s="22">
        <v>442</v>
      </c>
      <c r="B459" s="81" t="s">
        <v>145</v>
      </c>
      <c r="C459" s="23">
        <v>951</v>
      </c>
      <c r="D459" s="23" t="s">
        <v>146</v>
      </c>
      <c r="E459" s="22"/>
      <c r="F459" s="22"/>
      <c r="G459" s="18">
        <f>G460</f>
        <v>177805.79</v>
      </c>
      <c r="H459" s="18">
        <f t="shared" ref="H459:I460" si="196">H460</f>
        <v>160253.79999999999</v>
      </c>
      <c r="I459" s="18">
        <f t="shared" si="196"/>
        <v>160253.79999999999</v>
      </c>
    </row>
    <row r="460" spans="1:11" ht="30" x14ac:dyDescent="0.25">
      <c r="A460" s="48">
        <v>443</v>
      </c>
      <c r="B460" s="112" t="s">
        <v>63</v>
      </c>
      <c r="C460" s="23">
        <v>951</v>
      </c>
      <c r="D460" s="23" t="s">
        <v>146</v>
      </c>
      <c r="E460" s="23" t="s">
        <v>243</v>
      </c>
      <c r="F460" s="22"/>
      <c r="G460" s="18">
        <f>G461</f>
        <v>177805.79</v>
      </c>
      <c r="H460" s="18">
        <f t="shared" si="196"/>
        <v>160253.79999999999</v>
      </c>
      <c r="I460" s="18">
        <f t="shared" si="196"/>
        <v>160253.79999999999</v>
      </c>
    </row>
    <row r="461" spans="1:11" x14ac:dyDescent="0.25">
      <c r="A461" s="22">
        <v>444</v>
      </c>
      <c r="B461" s="112" t="s">
        <v>164</v>
      </c>
      <c r="C461" s="23">
        <v>951</v>
      </c>
      <c r="D461" s="23" t="s">
        <v>146</v>
      </c>
      <c r="E461" s="23" t="s">
        <v>253</v>
      </c>
      <c r="F461" s="22"/>
      <c r="G461" s="18">
        <f>G462+G468+G471+G474+G465+G477</f>
        <v>177805.79</v>
      </c>
      <c r="H461" s="18">
        <f t="shared" ref="H461:I461" si="197">H462+H468+H471+H474</f>
        <v>160253.79999999999</v>
      </c>
      <c r="I461" s="18">
        <f t="shared" si="197"/>
        <v>160253.79999999999</v>
      </c>
    </row>
    <row r="462" spans="1:11" x14ac:dyDescent="0.25">
      <c r="A462" s="48">
        <v>445</v>
      </c>
      <c r="B462" s="81" t="s">
        <v>77</v>
      </c>
      <c r="C462" s="23">
        <v>951</v>
      </c>
      <c r="D462" s="23" t="s">
        <v>146</v>
      </c>
      <c r="E462" s="23" t="s">
        <v>254</v>
      </c>
      <c r="F462" s="22"/>
      <c r="G462" s="18">
        <f>G463</f>
        <v>74831.3</v>
      </c>
      <c r="H462" s="18">
        <f t="shared" ref="H462:I462" si="198">H463</f>
        <v>75361.3</v>
      </c>
      <c r="I462" s="18">
        <f t="shared" si="198"/>
        <v>75361.3</v>
      </c>
    </row>
    <row r="463" spans="1:11" ht="30" x14ac:dyDescent="0.25">
      <c r="A463" s="22">
        <v>446</v>
      </c>
      <c r="B463" s="81" t="s">
        <v>58</v>
      </c>
      <c r="C463" s="23">
        <v>951</v>
      </c>
      <c r="D463" s="23" t="s">
        <v>146</v>
      </c>
      <c r="E463" s="23" t="s">
        <v>254</v>
      </c>
      <c r="F463" s="22">
        <v>600</v>
      </c>
      <c r="G463" s="18">
        <f>G464</f>
        <v>74831.3</v>
      </c>
      <c r="H463" s="18">
        <f t="shared" ref="H463:I463" si="199">H464</f>
        <v>75361.3</v>
      </c>
      <c r="I463" s="18">
        <f t="shared" si="199"/>
        <v>75361.3</v>
      </c>
    </row>
    <row r="464" spans="1:11" x14ac:dyDescent="0.25">
      <c r="A464" s="48">
        <v>447</v>
      </c>
      <c r="B464" s="81" t="s">
        <v>78</v>
      </c>
      <c r="C464" s="23">
        <v>951</v>
      </c>
      <c r="D464" s="23" t="s">
        <v>146</v>
      </c>
      <c r="E464" s="23" t="s">
        <v>254</v>
      </c>
      <c r="F464" s="22">
        <v>610</v>
      </c>
      <c r="G464" s="18">
        <f>75361.3-530</f>
        <v>74831.3</v>
      </c>
      <c r="H464" s="18">
        <v>75361.3</v>
      </c>
      <c r="I464" s="18">
        <v>75361.3</v>
      </c>
    </row>
    <row r="465" spans="1:10" ht="30" x14ac:dyDescent="0.25">
      <c r="A465" s="22">
        <v>448</v>
      </c>
      <c r="B465" s="112" t="s">
        <v>443</v>
      </c>
      <c r="C465" s="23" t="s">
        <v>222</v>
      </c>
      <c r="D465" s="23" t="s">
        <v>146</v>
      </c>
      <c r="E465" s="23" t="s">
        <v>472</v>
      </c>
      <c r="F465" s="22"/>
      <c r="G465" s="18">
        <f>G466</f>
        <v>9014.16</v>
      </c>
      <c r="H465" s="18">
        <f t="shared" ref="H465:I466" si="200">H466</f>
        <v>0</v>
      </c>
      <c r="I465" s="18">
        <f t="shared" si="200"/>
        <v>0</v>
      </c>
    </row>
    <row r="466" spans="1:10" ht="30" x14ac:dyDescent="0.25">
      <c r="A466" s="48">
        <v>449</v>
      </c>
      <c r="B466" s="81" t="s">
        <v>58</v>
      </c>
      <c r="C466" s="23" t="s">
        <v>222</v>
      </c>
      <c r="D466" s="23" t="s">
        <v>146</v>
      </c>
      <c r="E466" s="23" t="s">
        <v>472</v>
      </c>
      <c r="F466" s="22">
        <v>600</v>
      </c>
      <c r="G466" s="18">
        <f>G467</f>
        <v>9014.16</v>
      </c>
      <c r="H466" s="18">
        <f t="shared" si="200"/>
        <v>0</v>
      </c>
      <c r="I466" s="18">
        <f t="shared" si="200"/>
        <v>0</v>
      </c>
    </row>
    <row r="467" spans="1:10" x14ac:dyDescent="0.25">
      <c r="A467" s="22">
        <v>450</v>
      </c>
      <c r="B467" s="81" t="s">
        <v>78</v>
      </c>
      <c r="C467" s="23" t="s">
        <v>222</v>
      </c>
      <c r="D467" s="23" t="s">
        <v>146</v>
      </c>
      <c r="E467" s="23" t="s">
        <v>472</v>
      </c>
      <c r="F467" s="22">
        <v>610</v>
      </c>
      <c r="G467" s="18">
        <f>3465.75+1732.43+3815.98</f>
        <v>9014.16</v>
      </c>
      <c r="H467" s="18">
        <v>0</v>
      </c>
      <c r="I467" s="18">
        <v>0</v>
      </c>
      <c r="J467" s="73">
        <v>3815.98</v>
      </c>
    </row>
    <row r="468" spans="1:10" ht="75" x14ac:dyDescent="0.25">
      <c r="A468" s="48">
        <v>451</v>
      </c>
      <c r="B468" s="131" t="s">
        <v>183</v>
      </c>
      <c r="C468" s="23">
        <v>951</v>
      </c>
      <c r="D468" s="23" t="s">
        <v>146</v>
      </c>
      <c r="E468" s="23" t="s">
        <v>255</v>
      </c>
      <c r="F468" s="22"/>
      <c r="G468" s="18">
        <f>G469</f>
        <v>36033.86</v>
      </c>
      <c r="H468" s="18">
        <f t="shared" ref="H468:I468" si="201">H469</f>
        <v>32679.200000000001</v>
      </c>
      <c r="I468" s="18">
        <f t="shared" si="201"/>
        <v>32679.200000000001</v>
      </c>
    </row>
    <row r="469" spans="1:10" ht="30" x14ac:dyDescent="0.25">
      <c r="A469" s="22">
        <v>452</v>
      </c>
      <c r="B469" s="81" t="s">
        <v>58</v>
      </c>
      <c r="C469" s="23">
        <v>951</v>
      </c>
      <c r="D469" s="23" t="s">
        <v>146</v>
      </c>
      <c r="E469" s="23" t="s">
        <v>255</v>
      </c>
      <c r="F469" s="22">
        <v>600</v>
      </c>
      <c r="G469" s="18">
        <f>G470</f>
        <v>36033.86</v>
      </c>
      <c r="H469" s="18">
        <f t="shared" ref="H469:I469" si="202">H470</f>
        <v>32679.200000000001</v>
      </c>
      <c r="I469" s="18">
        <f t="shared" si="202"/>
        <v>32679.200000000001</v>
      </c>
    </row>
    <row r="470" spans="1:10" x14ac:dyDescent="0.25">
      <c r="A470" s="48">
        <v>453</v>
      </c>
      <c r="B470" s="81" t="s">
        <v>78</v>
      </c>
      <c r="C470" s="23">
        <v>951</v>
      </c>
      <c r="D470" s="23" t="s">
        <v>146</v>
      </c>
      <c r="E470" s="23" t="s">
        <v>255</v>
      </c>
      <c r="F470" s="22">
        <v>610</v>
      </c>
      <c r="G470" s="18">
        <f>32679.2+1735.3+994.91+624.45</f>
        <v>36033.86</v>
      </c>
      <c r="H470" s="18">
        <v>32679.200000000001</v>
      </c>
      <c r="I470" s="18">
        <v>32679.200000000001</v>
      </c>
      <c r="J470" s="73">
        <v>624.45000000000005</v>
      </c>
    </row>
    <row r="471" spans="1:10" ht="90" x14ac:dyDescent="0.25">
      <c r="A471" s="22">
        <v>454</v>
      </c>
      <c r="B471" s="31" t="s">
        <v>184</v>
      </c>
      <c r="C471" s="23">
        <v>951</v>
      </c>
      <c r="D471" s="23" t="s">
        <v>146</v>
      </c>
      <c r="E471" s="23" t="s">
        <v>256</v>
      </c>
      <c r="F471" s="22"/>
      <c r="G471" s="18">
        <f>G472</f>
        <v>57228</v>
      </c>
      <c r="H471" s="18">
        <f t="shared" ref="H471:I471" si="203">H472</f>
        <v>51877.3</v>
      </c>
      <c r="I471" s="18">
        <f t="shared" si="203"/>
        <v>51877.3</v>
      </c>
    </row>
    <row r="472" spans="1:10" ht="30" x14ac:dyDescent="0.25">
      <c r="A472" s="48">
        <v>455</v>
      </c>
      <c r="B472" s="81" t="s">
        <v>58</v>
      </c>
      <c r="C472" s="23">
        <v>951</v>
      </c>
      <c r="D472" s="23" t="s">
        <v>146</v>
      </c>
      <c r="E472" s="23" t="s">
        <v>256</v>
      </c>
      <c r="F472" s="22">
        <v>600</v>
      </c>
      <c r="G472" s="18">
        <f>G473</f>
        <v>57228</v>
      </c>
      <c r="H472" s="18">
        <f t="shared" ref="H472:I472" si="204">H473</f>
        <v>51877.3</v>
      </c>
      <c r="I472" s="18">
        <f t="shared" si="204"/>
        <v>51877.3</v>
      </c>
    </row>
    <row r="473" spans="1:10" x14ac:dyDescent="0.25">
      <c r="A473" s="22">
        <v>456</v>
      </c>
      <c r="B473" s="81" t="s">
        <v>78</v>
      </c>
      <c r="C473" s="23">
        <v>951</v>
      </c>
      <c r="D473" s="23" t="s">
        <v>146</v>
      </c>
      <c r="E473" s="23" t="s">
        <v>256</v>
      </c>
      <c r="F473" s="22">
        <v>610</v>
      </c>
      <c r="G473" s="18">
        <f>51877.3+1271.5+2570.6+1508.6</f>
        <v>57228</v>
      </c>
      <c r="H473" s="18">
        <v>51877.3</v>
      </c>
      <c r="I473" s="18">
        <v>51877.3</v>
      </c>
      <c r="J473" s="73">
        <v>1508.6</v>
      </c>
    </row>
    <row r="474" spans="1:10" ht="90" x14ac:dyDescent="0.25">
      <c r="A474" s="48">
        <v>457</v>
      </c>
      <c r="B474" s="115" t="s">
        <v>179</v>
      </c>
      <c r="C474" s="23">
        <v>951</v>
      </c>
      <c r="D474" s="23" t="s">
        <v>146</v>
      </c>
      <c r="E474" s="23" t="s">
        <v>257</v>
      </c>
      <c r="F474" s="22"/>
      <c r="G474" s="18">
        <f>G475</f>
        <v>336</v>
      </c>
      <c r="H474" s="18">
        <f t="shared" ref="H474:I474" si="205">H475</f>
        <v>336</v>
      </c>
      <c r="I474" s="18">
        <f t="shared" si="205"/>
        <v>336</v>
      </c>
    </row>
    <row r="475" spans="1:10" ht="30" x14ac:dyDescent="0.25">
      <c r="A475" s="22">
        <v>458</v>
      </c>
      <c r="B475" s="81" t="s">
        <v>58</v>
      </c>
      <c r="C475" s="23">
        <v>951</v>
      </c>
      <c r="D475" s="23" t="s">
        <v>146</v>
      </c>
      <c r="E475" s="23" t="s">
        <v>257</v>
      </c>
      <c r="F475" s="22">
        <v>600</v>
      </c>
      <c r="G475" s="18">
        <f>G476</f>
        <v>336</v>
      </c>
      <c r="H475" s="18">
        <f t="shared" ref="H475:I475" si="206">H476</f>
        <v>336</v>
      </c>
      <c r="I475" s="18">
        <f t="shared" si="206"/>
        <v>336</v>
      </c>
    </row>
    <row r="476" spans="1:10" x14ac:dyDescent="0.25">
      <c r="A476" s="48">
        <v>459</v>
      </c>
      <c r="B476" s="81" t="s">
        <v>78</v>
      </c>
      <c r="C476" s="23">
        <v>951</v>
      </c>
      <c r="D476" s="23" t="s">
        <v>146</v>
      </c>
      <c r="E476" s="23" t="s">
        <v>257</v>
      </c>
      <c r="F476" s="22">
        <v>610</v>
      </c>
      <c r="G476" s="18">
        <v>336</v>
      </c>
      <c r="H476" s="18">
        <v>336</v>
      </c>
      <c r="I476" s="18">
        <v>336</v>
      </c>
    </row>
    <row r="477" spans="1:10" ht="60" x14ac:dyDescent="0.25">
      <c r="A477" s="22">
        <v>460</v>
      </c>
      <c r="B477" s="123" t="s">
        <v>554</v>
      </c>
      <c r="C477" s="23" t="s">
        <v>222</v>
      </c>
      <c r="D477" s="23" t="s">
        <v>146</v>
      </c>
      <c r="E477" s="23" t="s">
        <v>536</v>
      </c>
      <c r="F477" s="22"/>
      <c r="G477" s="18">
        <f>G478</f>
        <v>362.47</v>
      </c>
      <c r="H477" s="18">
        <f t="shared" ref="H477:I478" si="207">H478</f>
        <v>0</v>
      </c>
      <c r="I477" s="18">
        <f t="shared" si="207"/>
        <v>0</v>
      </c>
    </row>
    <row r="478" spans="1:10" ht="30" x14ac:dyDescent="0.25">
      <c r="A478" s="48">
        <v>461</v>
      </c>
      <c r="B478" s="81" t="s">
        <v>58</v>
      </c>
      <c r="C478" s="23" t="s">
        <v>222</v>
      </c>
      <c r="D478" s="23" t="s">
        <v>146</v>
      </c>
      <c r="E478" s="23" t="s">
        <v>536</v>
      </c>
      <c r="F478" s="22">
        <v>600</v>
      </c>
      <c r="G478" s="18">
        <f>G479</f>
        <v>362.47</v>
      </c>
      <c r="H478" s="18">
        <f t="shared" si="207"/>
        <v>0</v>
      </c>
      <c r="I478" s="18">
        <f t="shared" si="207"/>
        <v>0</v>
      </c>
    </row>
    <row r="479" spans="1:10" x14ac:dyDescent="0.25">
      <c r="A479" s="22">
        <v>462</v>
      </c>
      <c r="B479" s="81" t="s">
        <v>78</v>
      </c>
      <c r="C479" s="23" t="s">
        <v>222</v>
      </c>
      <c r="D479" s="23" t="s">
        <v>146</v>
      </c>
      <c r="E479" s="23" t="s">
        <v>536</v>
      </c>
      <c r="F479" s="22">
        <v>610</v>
      </c>
      <c r="G479" s="18">
        <v>362.47</v>
      </c>
      <c r="H479" s="18">
        <v>0</v>
      </c>
      <c r="I479" s="18">
        <v>0</v>
      </c>
    </row>
    <row r="480" spans="1:10" x14ac:dyDescent="0.25">
      <c r="A480" s="48">
        <v>463</v>
      </c>
      <c r="B480" s="112" t="s">
        <v>75</v>
      </c>
      <c r="C480" s="23">
        <v>951</v>
      </c>
      <c r="D480" s="23" t="s">
        <v>147</v>
      </c>
      <c r="E480" s="22"/>
      <c r="F480" s="22"/>
      <c r="G480" s="18">
        <f>G481</f>
        <v>282872.99099999998</v>
      </c>
      <c r="H480" s="18">
        <f t="shared" ref="H480:I481" si="208">H481</f>
        <v>254025.28</v>
      </c>
      <c r="I480" s="18">
        <f t="shared" si="208"/>
        <v>254025.28</v>
      </c>
    </row>
    <row r="481" spans="1:10" ht="30" x14ac:dyDescent="0.25">
      <c r="A481" s="22">
        <v>464</v>
      </c>
      <c r="B481" s="112" t="s">
        <v>63</v>
      </c>
      <c r="C481" s="23">
        <v>951</v>
      </c>
      <c r="D481" s="23" t="s">
        <v>147</v>
      </c>
      <c r="E481" s="23" t="s">
        <v>243</v>
      </c>
      <c r="F481" s="22"/>
      <c r="G481" s="18">
        <f>G482</f>
        <v>282872.99099999998</v>
      </c>
      <c r="H481" s="18">
        <f t="shared" si="208"/>
        <v>254025.28</v>
      </c>
      <c r="I481" s="18">
        <f t="shared" si="208"/>
        <v>254025.28</v>
      </c>
    </row>
    <row r="482" spans="1:10" x14ac:dyDescent="0.25">
      <c r="A482" s="48">
        <v>465</v>
      </c>
      <c r="B482" s="112" t="s">
        <v>165</v>
      </c>
      <c r="C482" s="23">
        <v>951</v>
      </c>
      <c r="D482" s="23" t="s">
        <v>147</v>
      </c>
      <c r="E482" s="23" t="s">
        <v>258</v>
      </c>
      <c r="F482" s="22"/>
      <c r="G482" s="18">
        <f>G483+G495+G498+G507+G516+G486+G510+G504+G501+G519+G492+G513+G489</f>
        <v>282872.99099999998</v>
      </c>
      <c r="H482" s="18">
        <f t="shared" ref="H482:I482" si="209">H483+H495+H498+H507+H516+H486+H510+H504+H501+H519+H492+H513+H489</f>
        <v>254025.28</v>
      </c>
      <c r="I482" s="18">
        <f t="shared" si="209"/>
        <v>254025.28</v>
      </c>
    </row>
    <row r="483" spans="1:10" x14ac:dyDescent="0.25">
      <c r="A483" s="22">
        <v>466</v>
      </c>
      <c r="B483" s="81" t="s">
        <v>77</v>
      </c>
      <c r="C483" s="23">
        <v>951</v>
      </c>
      <c r="D483" s="23" t="s">
        <v>147</v>
      </c>
      <c r="E483" s="23" t="s">
        <v>259</v>
      </c>
      <c r="F483" s="22"/>
      <c r="G483" s="18">
        <f>G484</f>
        <v>99756.18</v>
      </c>
      <c r="H483" s="18">
        <f t="shared" ref="H483:I484" si="210">H484</f>
        <v>90796.18</v>
      </c>
      <c r="I483" s="18">
        <f t="shared" si="210"/>
        <v>90796.18</v>
      </c>
    </row>
    <row r="484" spans="1:10" ht="30" x14ac:dyDescent="0.25">
      <c r="A484" s="48">
        <v>467</v>
      </c>
      <c r="B484" s="81" t="s">
        <v>58</v>
      </c>
      <c r="C484" s="23">
        <v>951</v>
      </c>
      <c r="D484" s="23" t="s">
        <v>147</v>
      </c>
      <c r="E484" s="23" t="s">
        <v>259</v>
      </c>
      <c r="F484" s="22">
        <v>600</v>
      </c>
      <c r="G484" s="18">
        <f>G485</f>
        <v>99756.18</v>
      </c>
      <c r="H484" s="18">
        <f t="shared" si="210"/>
        <v>90796.18</v>
      </c>
      <c r="I484" s="18">
        <f t="shared" si="210"/>
        <v>90796.18</v>
      </c>
    </row>
    <row r="485" spans="1:10" x14ac:dyDescent="0.25">
      <c r="A485" s="22">
        <v>468</v>
      </c>
      <c r="B485" s="81" t="s">
        <v>78</v>
      </c>
      <c r="C485" s="23">
        <v>951</v>
      </c>
      <c r="D485" s="23" t="s">
        <v>147</v>
      </c>
      <c r="E485" s="23" t="s">
        <v>259</v>
      </c>
      <c r="F485" s="22">
        <v>610</v>
      </c>
      <c r="G485" s="18">
        <f>90796.18+256+8580+3820-3696</f>
        <v>99756.18</v>
      </c>
      <c r="H485" s="18">
        <v>90796.18</v>
      </c>
      <c r="I485" s="18">
        <v>90796.18</v>
      </c>
    </row>
    <row r="486" spans="1:10" ht="30" x14ac:dyDescent="0.25">
      <c r="A486" s="48">
        <v>469</v>
      </c>
      <c r="B486" s="112" t="s">
        <v>443</v>
      </c>
      <c r="C486" s="23" t="s">
        <v>222</v>
      </c>
      <c r="D486" s="23" t="s">
        <v>147</v>
      </c>
      <c r="E486" s="23" t="s">
        <v>473</v>
      </c>
      <c r="F486" s="22"/>
      <c r="G486" s="18">
        <f>G487</f>
        <v>10314.67</v>
      </c>
      <c r="H486" s="18">
        <f t="shared" ref="H486:I487" si="211">H487</f>
        <v>0</v>
      </c>
      <c r="I486" s="18">
        <f t="shared" si="211"/>
        <v>0</v>
      </c>
    </row>
    <row r="487" spans="1:10" ht="30" x14ac:dyDescent="0.25">
      <c r="A487" s="22">
        <v>470</v>
      </c>
      <c r="B487" s="81" t="s">
        <v>58</v>
      </c>
      <c r="C487" s="23" t="s">
        <v>222</v>
      </c>
      <c r="D487" s="23" t="s">
        <v>147</v>
      </c>
      <c r="E487" s="23" t="s">
        <v>473</v>
      </c>
      <c r="F487" s="22">
        <v>600</v>
      </c>
      <c r="G487" s="18">
        <f>G488</f>
        <v>10314.67</v>
      </c>
      <c r="H487" s="18">
        <f t="shared" si="211"/>
        <v>0</v>
      </c>
      <c r="I487" s="18">
        <f t="shared" si="211"/>
        <v>0</v>
      </c>
    </row>
    <row r="488" spans="1:10" x14ac:dyDescent="0.25">
      <c r="A488" s="48">
        <v>471</v>
      </c>
      <c r="B488" s="81" t="s">
        <v>78</v>
      </c>
      <c r="C488" s="23" t="s">
        <v>222</v>
      </c>
      <c r="D488" s="23" t="s">
        <v>147</v>
      </c>
      <c r="E488" s="23" t="s">
        <v>473</v>
      </c>
      <c r="F488" s="22">
        <v>610</v>
      </c>
      <c r="G488" s="18">
        <f>4952.78+4077.29+1284.6</f>
        <v>10314.67</v>
      </c>
      <c r="H488" s="18">
        <v>0</v>
      </c>
      <c r="I488" s="18">
        <v>0</v>
      </c>
      <c r="J488" s="73">
        <v>1284.5999999999999</v>
      </c>
    </row>
    <row r="489" spans="1:10" ht="75" x14ac:dyDescent="0.25">
      <c r="A489" s="22">
        <v>472</v>
      </c>
      <c r="B489" s="80" t="s">
        <v>563</v>
      </c>
      <c r="C489" s="23" t="s">
        <v>222</v>
      </c>
      <c r="D489" s="23" t="s">
        <v>147</v>
      </c>
      <c r="E489" s="23" t="s">
        <v>564</v>
      </c>
      <c r="F489" s="22"/>
      <c r="G489" s="18">
        <f>G490</f>
        <v>1591.8</v>
      </c>
      <c r="H489" s="18">
        <f t="shared" ref="H489:I490" si="212">H490</f>
        <v>0</v>
      </c>
      <c r="I489" s="18">
        <f t="shared" si="212"/>
        <v>0</v>
      </c>
    </row>
    <row r="490" spans="1:10" ht="30" x14ac:dyDescent="0.25">
      <c r="A490" s="48">
        <v>473</v>
      </c>
      <c r="B490" s="81" t="s">
        <v>58</v>
      </c>
      <c r="C490" s="23" t="s">
        <v>222</v>
      </c>
      <c r="D490" s="23" t="s">
        <v>147</v>
      </c>
      <c r="E490" s="23" t="s">
        <v>564</v>
      </c>
      <c r="F490" s="22">
        <v>600</v>
      </c>
      <c r="G490" s="18">
        <f>G491</f>
        <v>1591.8</v>
      </c>
      <c r="H490" s="18">
        <f t="shared" si="212"/>
        <v>0</v>
      </c>
      <c r="I490" s="18">
        <f t="shared" si="212"/>
        <v>0</v>
      </c>
    </row>
    <row r="491" spans="1:10" x14ac:dyDescent="0.25">
      <c r="A491" s="22">
        <v>474</v>
      </c>
      <c r="B491" s="81" t="s">
        <v>78</v>
      </c>
      <c r="C491" s="23" t="s">
        <v>222</v>
      </c>
      <c r="D491" s="23" t="s">
        <v>147</v>
      </c>
      <c r="E491" s="23" t="s">
        <v>564</v>
      </c>
      <c r="F491" s="22">
        <v>610</v>
      </c>
      <c r="G491" s="18">
        <v>1591.8</v>
      </c>
      <c r="H491" s="18">
        <v>0</v>
      </c>
      <c r="I491" s="18">
        <v>0</v>
      </c>
      <c r="J491" s="73">
        <v>1591.8</v>
      </c>
    </row>
    <row r="492" spans="1:10" ht="60" x14ac:dyDescent="0.25">
      <c r="A492" s="48">
        <v>475</v>
      </c>
      <c r="B492" s="80" t="s">
        <v>557</v>
      </c>
      <c r="C492" s="23" t="s">
        <v>222</v>
      </c>
      <c r="D492" s="23" t="s">
        <v>147</v>
      </c>
      <c r="E492" s="23" t="s">
        <v>537</v>
      </c>
      <c r="F492" s="22"/>
      <c r="G492" s="18">
        <f>G493</f>
        <v>47.6</v>
      </c>
      <c r="H492" s="18">
        <f t="shared" ref="H492:I493" si="213">H493</f>
        <v>0</v>
      </c>
      <c r="I492" s="18">
        <f t="shared" si="213"/>
        <v>0</v>
      </c>
    </row>
    <row r="493" spans="1:10" ht="30" x14ac:dyDescent="0.25">
      <c r="A493" s="22">
        <v>476</v>
      </c>
      <c r="B493" s="81" t="s">
        <v>58</v>
      </c>
      <c r="C493" s="23" t="s">
        <v>222</v>
      </c>
      <c r="D493" s="23" t="s">
        <v>147</v>
      </c>
      <c r="E493" s="23" t="s">
        <v>537</v>
      </c>
      <c r="F493" s="22">
        <v>600</v>
      </c>
      <c r="G493" s="18">
        <f>G494</f>
        <v>47.6</v>
      </c>
      <c r="H493" s="18">
        <f t="shared" si="213"/>
        <v>0</v>
      </c>
      <c r="I493" s="18">
        <f t="shared" si="213"/>
        <v>0</v>
      </c>
    </row>
    <row r="494" spans="1:10" x14ac:dyDescent="0.25">
      <c r="A494" s="48">
        <v>477</v>
      </c>
      <c r="B494" s="81" t="s">
        <v>78</v>
      </c>
      <c r="C494" s="23" t="s">
        <v>222</v>
      </c>
      <c r="D494" s="23" t="s">
        <v>147</v>
      </c>
      <c r="E494" s="23" t="s">
        <v>537</v>
      </c>
      <c r="F494" s="22">
        <v>610</v>
      </c>
      <c r="G494" s="18">
        <v>47.6</v>
      </c>
      <c r="H494" s="18">
        <v>0</v>
      </c>
      <c r="I494" s="18">
        <v>0</v>
      </c>
    </row>
    <row r="495" spans="1:10" ht="60" x14ac:dyDescent="0.25">
      <c r="A495" s="22">
        <v>478</v>
      </c>
      <c r="B495" s="59" t="s">
        <v>433</v>
      </c>
      <c r="C495" s="23">
        <v>951</v>
      </c>
      <c r="D495" s="23" t="s">
        <v>147</v>
      </c>
      <c r="E495" s="23" t="s">
        <v>325</v>
      </c>
      <c r="F495" s="22"/>
      <c r="G495" s="18">
        <f>G496</f>
        <v>1730</v>
      </c>
      <c r="H495" s="18">
        <f t="shared" ref="H495:I495" si="214">H496</f>
        <v>2314.4</v>
      </c>
      <c r="I495" s="18">
        <f t="shared" si="214"/>
        <v>2314.4</v>
      </c>
    </row>
    <row r="496" spans="1:10" ht="30" x14ac:dyDescent="0.25">
      <c r="A496" s="48">
        <v>479</v>
      </c>
      <c r="B496" s="81" t="s">
        <v>58</v>
      </c>
      <c r="C496" s="23">
        <v>951</v>
      </c>
      <c r="D496" s="23" t="s">
        <v>147</v>
      </c>
      <c r="E496" s="23" t="s">
        <v>325</v>
      </c>
      <c r="F496" s="22">
        <v>600</v>
      </c>
      <c r="G496" s="18">
        <f>G497</f>
        <v>1730</v>
      </c>
      <c r="H496" s="18">
        <f t="shared" ref="H496:I496" si="215">H497</f>
        <v>2314.4</v>
      </c>
      <c r="I496" s="18">
        <f t="shared" si="215"/>
        <v>2314.4</v>
      </c>
    </row>
    <row r="497" spans="1:13" x14ac:dyDescent="0.25">
      <c r="A497" s="22">
        <v>480</v>
      </c>
      <c r="B497" s="81" t="s">
        <v>78</v>
      </c>
      <c r="C497" s="23">
        <v>951</v>
      </c>
      <c r="D497" s="23" t="s">
        <v>147</v>
      </c>
      <c r="E497" s="23" t="s">
        <v>325</v>
      </c>
      <c r="F497" s="22">
        <v>610</v>
      </c>
      <c r="G497" s="18">
        <f>2314.4-584.4</f>
        <v>1730</v>
      </c>
      <c r="H497" s="18">
        <v>2314.4</v>
      </c>
      <c r="I497" s="18">
        <v>2314.4</v>
      </c>
      <c r="J497" s="73">
        <v>-584.4</v>
      </c>
    </row>
    <row r="498" spans="1:13" ht="90" x14ac:dyDescent="0.25">
      <c r="A498" s="48">
        <v>481</v>
      </c>
      <c r="B498" s="31" t="s">
        <v>185</v>
      </c>
      <c r="C498" s="23">
        <v>951</v>
      </c>
      <c r="D498" s="23" t="s">
        <v>147</v>
      </c>
      <c r="E498" s="23" t="s">
        <v>260</v>
      </c>
      <c r="F498" s="22"/>
      <c r="G498" s="18">
        <f>G499</f>
        <v>31128.84</v>
      </c>
      <c r="H498" s="18">
        <f t="shared" ref="H498:I499" si="216">H499</f>
        <v>29635.1</v>
      </c>
      <c r="I498" s="18">
        <f t="shared" si="216"/>
        <v>29635.1</v>
      </c>
    </row>
    <row r="499" spans="1:13" ht="30" x14ac:dyDescent="0.25">
      <c r="A499" s="22">
        <v>482</v>
      </c>
      <c r="B499" s="81" t="s">
        <v>58</v>
      </c>
      <c r="C499" s="23">
        <v>951</v>
      </c>
      <c r="D499" s="23" t="s">
        <v>147</v>
      </c>
      <c r="E499" s="23" t="s">
        <v>260</v>
      </c>
      <c r="F499" s="22">
        <v>600</v>
      </c>
      <c r="G499" s="18">
        <f>G500</f>
        <v>31128.84</v>
      </c>
      <c r="H499" s="18">
        <f t="shared" si="216"/>
        <v>29635.1</v>
      </c>
      <c r="I499" s="18">
        <f t="shared" si="216"/>
        <v>29635.1</v>
      </c>
    </row>
    <row r="500" spans="1:13" x14ac:dyDescent="0.25">
      <c r="A500" s="48">
        <v>483</v>
      </c>
      <c r="B500" s="81" t="s">
        <v>78</v>
      </c>
      <c r="C500" s="23">
        <v>951</v>
      </c>
      <c r="D500" s="23" t="s">
        <v>147</v>
      </c>
      <c r="E500" s="23" t="s">
        <v>260</v>
      </c>
      <c r="F500" s="22">
        <v>610</v>
      </c>
      <c r="G500" s="18">
        <f>29635.1+622.2+300.7+570.84</f>
        <v>31128.84</v>
      </c>
      <c r="H500" s="18">
        <v>29635.1</v>
      </c>
      <c r="I500" s="18">
        <v>29635.1</v>
      </c>
      <c r="J500" s="73">
        <v>570.84</v>
      </c>
    </row>
    <row r="501" spans="1:13" ht="60" x14ac:dyDescent="0.25">
      <c r="A501" s="22">
        <v>484</v>
      </c>
      <c r="B501" s="80" t="s">
        <v>490</v>
      </c>
      <c r="C501" s="23" t="s">
        <v>222</v>
      </c>
      <c r="D501" s="23" t="s">
        <v>147</v>
      </c>
      <c r="E501" s="23" t="s">
        <v>451</v>
      </c>
      <c r="F501" s="22"/>
      <c r="G501" s="18">
        <f>G502</f>
        <v>3988.1000000000004</v>
      </c>
      <c r="H501" s="18">
        <f t="shared" ref="H501:I502" si="217">H502</f>
        <v>0</v>
      </c>
      <c r="I501" s="18">
        <f t="shared" si="217"/>
        <v>0</v>
      </c>
    </row>
    <row r="502" spans="1:13" ht="30" x14ac:dyDescent="0.25">
      <c r="A502" s="48">
        <v>485</v>
      </c>
      <c r="B502" s="81" t="s">
        <v>58</v>
      </c>
      <c r="C502" s="23" t="s">
        <v>222</v>
      </c>
      <c r="D502" s="23" t="s">
        <v>147</v>
      </c>
      <c r="E502" s="23" t="s">
        <v>451</v>
      </c>
      <c r="F502" s="22">
        <v>600</v>
      </c>
      <c r="G502" s="18">
        <f>G503</f>
        <v>3988.1000000000004</v>
      </c>
      <c r="H502" s="18">
        <f t="shared" si="217"/>
        <v>0</v>
      </c>
      <c r="I502" s="18">
        <f t="shared" si="217"/>
        <v>0</v>
      </c>
    </row>
    <row r="503" spans="1:13" x14ac:dyDescent="0.25">
      <c r="A503" s="22">
        <v>486</v>
      </c>
      <c r="B503" s="81" t="s">
        <v>78</v>
      </c>
      <c r="C503" s="23" t="s">
        <v>222</v>
      </c>
      <c r="D503" s="23" t="s">
        <v>147</v>
      </c>
      <c r="E503" s="23" t="s">
        <v>451</v>
      </c>
      <c r="F503" s="22">
        <v>610</v>
      </c>
      <c r="G503" s="18">
        <f>965.8+3022.3</f>
        <v>3988.1000000000004</v>
      </c>
      <c r="H503" s="18">
        <v>0</v>
      </c>
      <c r="I503" s="18">
        <v>0</v>
      </c>
    </row>
    <row r="504" spans="1:13" x14ac:dyDescent="0.25">
      <c r="A504" s="48">
        <v>487</v>
      </c>
      <c r="B504" s="80" t="s">
        <v>452</v>
      </c>
      <c r="C504" s="23">
        <v>951</v>
      </c>
      <c r="D504" s="23" t="s">
        <v>147</v>
      </c>
      <c r="E504" s="111" t="s">
        <v>455</v>
      </c>
      <c r="F504" s="22"/>
      <c r="G504" s="18">
        <f>G505</f>
        <v>311.98</v>
      </c>
      <c r="H504" s="18">
        <f t="shared" ref="H504:I505" si="218">H505</f>
        <v>0</v>
      </c>
      <c r="I504" s="18">
        <f t="shared" si="218"/>
        <v>0</v>
      </c>
    </row>
    <row r="505" spans="1:13" ht="30" x14ac:dyDescent="0.25">
      <c r="A505" s="22">
        <v>488</v>
      </c>
      <c r="B505" s="81" t="s">
        <v>58</v>
      </c>
      <c r="C505" s="23">
        <v>951</v>
      </c>
      <c r="D505" s="23" t="s">
        <v>147</v>
      </c>
      <c r="E505" s="111" t="s">
        <v>455</v>
      </c>
      <c r="F505" s="22">
        <v>600</v>
      </c>
      <c r="G505" s="18">
        <f>G506</f>
        <v>311.98</v>
      </c>
      <c r="H505" s="18">
        <f t="shared" si="218"/>
        <v>0</v>
      </c>
      <c r="I505" s="18">
        <f t="shared" si="218"/>
        <v>0</v>
      </c>
    </row>
    <row r="506" spans="1:13" x14ac:dyDescent="0.25">
      <c r="A506" s="48">
        <v>489</v>
      </c>
      <c r="B506" s="81" t="s">
        <v>78</v>
      </c>
      <c r="C506" s="23">
        <v>951</v>
      </c>
      <c r="D506" s="23" t="s">
        <v>147</v>
      </c>
      <c r="E506" s="111" t="s">
        <v>455</v>
      </c>
      <c r="F506" s="22">
        <v>610</v>
      </c>
      <c r="G506" s="18">
        <f>345.57-33.59</f>
        <v>311.98</v>
      </c>
      <c r="H506" s="18">
        <v>0</v>
      </c>
      <c r="I506" s="18">
        <v>0</v>
      </c>
    </row>
    <row r="507" spans="1:13" ht="90" x14ac:dyDescent="0.25">
      <c r="A507" s="22">
        <v>490</v>
      </c>
      <c r="B507" s="115" t="s">
        <v>186</v>
      </c>
      <c r="C507" s="23">
        <v>951</v>
      </c>
      <c r="D507" s="23" t="s">
        <v>147</v>
      </c>
      <c r="E507" s="23" t="s">
        <v>261</v>
      </c>
      <c r="F507" s="22"/>
      <c r="G507" s="18">
        <f>G508</f>
        <v>130948.00000000001</v>
      </c>
      <c r="H507" s="18">
        <f t="shared" ref="H507:I508" si="219">H508</f>
        <v>130879.6</v>
      </c>
      <c r="I507" s="18">
        <f t="shared" si="219"/>
        <v>130879.6</v>
      </c>
    </row>
    <row r="508" spans="1:13" ht="30" x14ac:dyDescent="0.25">
      <c r="A508" s="48">
        <v>491</v>
      </c>
      <c r="B508" s="81" t="s">
        <v>58</v>
      </c>
      <c r="C508" s="23">
        <v>951</v>
      </c>
      <c r="D508" s="23" t="s">
        <v>147</v>
      </c>
      <c r="E508" s="23" t="s">
        <v>261</v>
      </c>
      <c r="F508" s="22">
        <v>600</v>
      </c>
      <c r="G508" s="18">
        <f>G509</f>
        <v>130948.00000000001</v>
      </c>
      <c r="H508" s="18">
        <f t="shared" si="219"/>
        <v>130879.6</v>
      </c>
      <c r="I508" s="18">
        <f t="shared" si="219"/>
        <v>130879.6</v>
      </c>
    </row>
    <row r="509" spans="1:13" x14ac:dyDescent="0.25">
      <c r="A509" s="22">
        <v>492</v>
      </c>
      <c r="B509" s="81" t="s">
        <v>78</v>
      </c>
      <c r="C509" s="23">
        <v>951</v>
      </c>
      <c r="D509" s="23" t="s">
        <v>147</v>
      </c>
      <c r="E509" s="23" t="s">
        <v>261</v>
      </c>
      <c r="F509" s="22">
        <v>610</v>
      </c>
      <c r="G509" s="18">
        <f>134703.6-3824-322.2+390.6</f>
        <v>130948.00000000001</v>
      </c>
      <c r="H509" s="18">
        <f>134703.6-3824</f>
        <v>130879.6</v>
      </c>
      <c r="I509" s="18">
        <f>134703.6-3824</f>
        <v>130879.6</v>
      </c>
      <c r="J509" s="73">
        <v>390.6</v>
      </c>
      <c r="K509" s="100"/>
      <c r="L509" s="100"/>
      <c r="M509" s="100"/>
    </row>
    <row r="510" spans="1:13" ht="60" x14ac:dyDescent="0.25">
      <c r="A510" s="48">
        <v>493</v>
      </c>
      <c r="B510" s="123" t="s">
        <v>554</v>
      </c>
      <c r="C510" s="23" t="s">
        <v>222</v>
      </c>
      <c r="D510" s="23" t="s">
        <v>147</v>
      </c>
      <c r="E510" s="23" t="s">
        <v>474</v>
      </c>
      <c r="F510" s="22"/>
      <c r="G510" s="18">
        <f>G511</f>
        <v>1142.3309999999999</v>
      </c>
      <c r="H510" s="18">
        <f t="shared" ref="H510:I511" si="220">H511</f>
        <v>0</v>
      </c>
      <c r="I510" s="18">
        <f t="shared" si="220"/>
        <v>0</v>
      </c>
      <c r="K510" s="100"/>
      <c r="L510" s="100"/>
      <c r="M510" s="100"/>
    </row>
    <row r="511" spans="1:13" ht="30" x14ac:dyDescent="0.25">
      <c r="A511" s="22">
        <v>494</v>
      </c>
      <c r="B511" s="81" t="s">
        <v>58</v>
      </c>
      <c r="C511" s="23" t="s">
        <v>222</v>
      </c>
      <c r="D511" s="23" t="s">
        <v>147</v>
      </c>
      <c r="E511" s="23" t="s">
        <v>474</v>
      </c>
      <c r="F511" s="22">
        <v>600</v>
      </c>
      <c r="G511" s="18">
        <f>G512</f>
        <v>1142.3309999999999</v>
      </c>
      <c r="H511" s="18">
        <f t="shared" si="220"/>
        <v>0</v>
      </c>
      <c r="I511" s="18">
        <f t="shared" si="220"/>
        <v>0</v>
      </c>
      <c r="K511" s="100"/>
      <c r="L511" s="100"/>
      <c r="M511" s="100"/>
    </row>
    <row r="512" spans="1:13" x14ac:dyDescent="0.25">
      <c r="A512" s="48">
        <v>495</v>
      </c>
      <c r="B512" s="81" t="s">
        <v>78</v>
      </c>
      <c r="C512" s="23" t="s">
        <v>222</v>
      </c>
      <c r="D512" s="23" t="s">
        <v>147</v>
      </c>
      <c r="E512" s="23" t="s">
        <v>474</v>
      </c>
      <c r="F512" s="22">
        <v>610</v>
      </c>
      <c r="G512" s="18">
        <f>1504.801-362.47</f>
        <v>1142.3309999999999</v>
      </c>
      <c r="H512" s="18">
        <v>0</v>
      </c>
      <c r="I512" s="18">
        <v>0</v>
      </c>
      <c r="K512" s="100"/>
      <c r="L512" s="100"/>
      <c r="M512" s="100"/>
    </row>
    <row r="513" spans="1:13" ht="30" x14ac:dyDescent="0.25">
      <c r="A513" s="22">
        <v>496</v>
      </c>
      <c r="B513" s="80" t="s">
        <v>538</v>
      </c>
      <c r="C513" s="23" t="s">
        <v>222</v>
      </c>
      <c r="D513" s="23" t="s">
        <v>147</v>
      </c>
      <c r="E513" s="23" t="s">
        <v>539</v>
      </c>
      <c r="F513" s="22"/>
      <c r="G513" s="18">
        <f>G514</f>
        <v>1479.9</v>
      </c>
      <c r="H513" s="18">
        <f t="shared" ref="H513:I514" si="221">H514</f>
        <v>0</v>
      </c>
      <c r="I513" s="18">
        <f t="shared" si="221"/>
        <v>0</v>
      </c>
      <c r="K513" s="100"/>
      <c r="L513" s="100"/>
      <c r="M513" s="100"/>
    </row>
    <row r="514" spans="1:13" ht="30" x14ac:dyDescent="0.25">
      <c r="A514" s="48">
        <v>497</v>
      </c>
      <c r="B514" s="81" t="s">
        <v>58</v>
      </c>
      <c r="C514" s="23" t="s">
        <v>222</v>
      </c>
      <c r="D514" s="23" t="s">
        <v>147</v>
      </c>
      <c r="E514" s="23" t="s">
        <v>539</v>
      </c>
      <c r="F514" s="22">
        <v>600</v>
      </c>
      <c r="G514" s="18">
        <f>G515</f>
        <v>1479.9</v>
      </c>
      <c r="H514" s="18">
        <f t="shared" si="221"/>
        <v>0</v>
      </c>
      <c r="I514" s="18">
        <f t="shared" si="221"/>
        <v>0</v>
      </c>
      <c r="K514" s="100"/>
      <c r="L514" s="100"/>
      <c r="M514" s="100"/>
    </row>
    <row r="515" spans="1:13" x14ac:dyDescent="0.25">
      <c r="A515" s="22">
        <v>498</v>
      </c>
      <c r="B515" s="81" t="s">
        <v>78</v>
      </c>
      <c r="C515" s="23" t="s">
        <v>222</v>
      </c>
      <c r="D515" s="23" t="s">
        <v>147</v>
      </c>
      <c r="E515" s="23" t="s">
        <v>539</v>
      </c>
      <c r="F515" s="22">
        <v>610</v>
      </c>
      <c r="G515" s="18">
        <v>1479.9</v>
      </c>
      <c r="H515" s="18">
        <v>0</v>
      </c>
      <c r="I515" s="18">
        <v>0</v>
      </c>
      <c r="K515" s="100"/>
      <c r="L515" s="100"/>
      <c r="M515" s="100"/>
    </row>
    <row r="516" spans="1:13" x14ac:dyDescent="0.25">
      <c r="A516" s="48">
        <v>499</v>
      </c>
      <c r="B516" s="81" t="s">
        <v>403</v>
      </c>
      <c r="C516" s="23" t="s">
        <v>222</v>
      </c>
      <c r="D516" s="23" t="s">
        <v>147</v>
      </c>
      <c r="E516" s="23" t="s">
        <v>402</v>
      </c>
      <c r="F516" s="22"/>
      <c r="G516" s="18">
        <f>G517</f>
        <v>418.64</v>
      </c>
      <c r="H516" s="18">
        <f t="shared" ref="H516:I517" si="222">H517</f>
        <v>400</v>
      </c>
      <c r="I516" s="18">
        <f t="shared" si="222"/>
        <v>400</v>
      </c>
      <c r="K516" s="100"/>
      <c r="L516" s="100"/>
      <c r="M516" s="100"/>
    </row>
    <row r="517" spans="1:13" ht="30" x14ac:dyDescent="0.25">
      <c r="A517" s="22">
        <v>500</v>
      </c>
      <c r="B517" s="81" t="s">
        <v>58</v>
      </c>
      <c r="C517" s="23" t="s">
        <v>222</v>
      </c>
      <c r="D517" s="23" t="s">
        <v>147</v>
      </c>
      <c r="E517" s="23" t="s">
        <v>402</v>
      </c>
      <c r="F517" s="22">
        <v>600</v>
      </c>
      <c r="G517" s="18">
        <f>G518</f>
        <v>418.64</v>
      </c>
      <c r="H517" s="18">
        <f t="shared" si="222"/>
        <v>400</v>
      </c>
      <c r="I517" s="18">
        <f t="shared" si="222"/>
        <v>400</v>
      </c>
      <c r="K517" s="100"/>
      <c r="L517" s="100"/>
      <c r="M517" s="100"/>
    </row>
    <row r="518" spans="1:13" x14ac:dyDescent="0.25">
      <c r="A518" s="48">
        <v>501</v>
      </c>
      <c r="B518" s="81" t="s">
        <v>78</v>
      </c>
      <c r="C518" s="23" t="s">
        <v>222</v>
      </c>
      <c r="D518" s="23" t="s">
        <v>147</v>
      </c>
      <c r="E518" s="23" t="s">
        <v>402</v>
      </c>
      <c r="F518" s="22">
        <v>610</v>
      </c>
      <c r="G518" s="18">
        <f>400+18.64</f>
        <v>418.64</v>
      </c>
      <c r="H518" s="18">
        <v>400</v>
      </c>
      <c r="I518" s="18">
        <v>400</v>
      </c>
      <c r="K518" s="132"/>
      <c r="L518" s="100"/>
      <c r="M518" s="100"/>
    </row>
    <row r="519" spans="1:13" ht="45" x14ac:dyDescent="0.25">
      <c r="A519" s="22">
        <v>502</v>
      </c>
      <c r="B519" s="80" t="s">
        <v>493</v>
      </c>
      <c r="C519" s="23" t="s">
        <v>222</v>
      </c>
      <c r="D519" s="23" t="s">
        <v>147</v>
      </c>
      <c r="E519" s="23" t="s">
        <v>494</v>
      </c>
      <c r="F519" s="22"/>
      <c r="G519" s="18">
        <f>G520</f>
        <v>14.95</v>
      </c>
      <c r="H519" s="18">
        <f t="shared" ref="H519:I520" si="223">H520</f>
        <v>0</v>
      </c>
      <c r="I519" s="18">
        <f t="shared" si="223"/>
        <v>0</v>
      </c>
      <c r="K519" s="100"/>
      <c r="L519" s="100"/>
      <c r="M519" s="100"/>
    </row>
    <row r="520" spans="1:13" ht="30" x14ac:dyDescent="0.25">
      <c r="A520" s="48">
        <v>503</v>
      </c>
      <c r="B520" s="81" t="s">
        <v>58</v>
      </c>
      <c r="C520" s="23" t="s">
        <v>222</v>
      </c>
      <c r="D520" s="23" t="s">
        <v>147</v>
      </c>
      <c r="E520" s="23" t="s">
        <v>494</v>
      </c>
      <c r="F520" s="22">
        <v>600</v>
      </c>
      <c r="G520" s="18">
        <f>G521</f>
        <v>14.95</v>
      </c>
      <c r="H520" s="18">
        <f t="shared" si="223"/>
        <v>0</v>
      </c>
      <c r="I520" s="18">
        <f t="shared" si="223"/>
        <v>0</v>
      </c>
      <c r="K520" s="100"/>
      <c r="L520" s="100"/>
      <c r="M520" s="100"/>
    </row>
    <row r="521" spans="1:13" x14ac:dyDescent="0.25">
      <c r="A521" s="22">
        <v>504</v>
      </c>
      <c r="B521" s="81" t="s">
        <v>78</v>
      </c>
      <c r="C521" s="23" t="s">
        <v>222</v>
      </c>
      <c r="D521" s="23" t="s">
        <v>147</v>
      </c>
      <c r="E521" s="23" t="s">
        <v>494</v>
      </c>
      <c r="F521" s="22">
        <v>610</v>
      </c>
      <c r="G521" s="18">
        <v>14.95</v>
      </c>
      <c r="H521" s="18">
        <v>0</v>
      </c>
      <c r="I521" s="18">
        <v>0</v>
      </c>
      <c r="K521" s="132"/>
      <c r="L521" s="100"/>
      <c r="M521" s="100"/>
    </row>
    <row r="522" spans="1:13" x14ac:dyDescent="0.25">
      <c r="A522" s="48">
        <v>505</v>
      </c>
      <c r="B522" s="80" t="s">
        <v>220</v>
      </c>
      <c r="C522" s="23">
        <v>951</v>
      </c>
      <c r="D522" s="23" t="s">
        <v>224</v>
      </c>
      <c r="E522" s="22"/>
      <c r="F522" s="22"/>
      <c r="G522" s="18">
        <f>G527+G523</f>
        <v>23394.796999999999</v>
      </c>
      <c r="H522" s="18">
        <f t="shared" ref="H522:I522" si="224">H527+H523</f>
        <v>28396.5</v>
      </c>
      <c r="I522" s="18">
        <f t="shared" si="224"/>
        <v>28396.5</v>
      </c>
      <c r="K522" s="100"/>
      <c r="L522" s="100"/>
      <c r="M522" s="100"/>
    </row>
    <row r="523" spans="1:13" x14ac:dyDescent="0.25">
      <c r="A523" s="22">
        <v>506</v>
      </c>
      <c r="B523" s="112" t="s">
        <v>165</v>
      </c>
      <c r="C523" s="23" t="s">
        <v>222</v>
      </c>
      <c r="D523" s="23" t="s">
        <v>224</v>
      </c>
      <c r="E523" s="23" t="s">
        <v>258</v>
      </c>
      <c r="F523" s="22"/>
      <c r="G523" s="18">
        <f>G524</f>
        <v>196.19999999999982</v>
      </c>
      <c r="H523" s="18">
        <f t="shared" ref="H523:I525" si="225">H524</f>
        <v>4493.5</v>
      </c>
      <c r="I523" s="18">
        <f t="shared" si="225"/>
        <v>4493.5</v>
      </c>
      <c r="K523" s="100"/>
      <c r="L523" s="100"/>
      <c r="M523" s="100"/>
    </row>
    <row r="524" spans="1:13" ht="90" x14ac:dyDescent="0.25">
      <c r="A524" s="48">
        <v>507</v>
      </c>
      <c r="B524" s="115" t="s">
        <v>186</v>
      </c>
      <c r="C524" s="23">
        <v>951</v>
      </c>
      <c r="D524" s="23" t="s">
        <v>224</v>
      </c>
      <c r="E524" s="23" t="s">
        <v>261</v>
      </c>
      <c r="F524" s="22"/>
      <c r="G524" s="18">
        <f>G525</f>
        <v>196.19999999999982</v>
      </c>
      <c r="H524" s="18">
        <f t="shared" si="225"/>
        <v>4493.5</v>
      </c>
      <c r="I524" s="18">
        <f t="shared" si="225"/>
        <v>4493.5</v>
      </c>
      <c r="K524" s="100"/>
      <c r="L524" s="100"/>
      <c r="M524" s="100"/>
    </row>
    <row r="525" spans="1:13" ht="30" x14ac:dyDescent="0.25">
      <c r="A525" s="22">
        <v>508</v>
      </c>
      <c r="B525" s="81" t="s">
        <v>58</v>
      </c>
      <c r="C525" s="23">
        <v>951</v>
      </c>
      <c r="D525" s="23" t="s">
        <v>224</v>
      </c>
      <c r="E525" s="23" t="s">
        <v>261</v>
      </c>
      <c r="F525" s="22">
        <v>600</v>
      </c>
      <c r="G525" s="18">
        <f>G526</f>
        <v>196.19999999999982</v>
      </c>
      <c r="H525" s="18">
        <f t="shared" si="225"/>
        <v>4493.5</v>
      </c>
      <c r="I525" s="18">
        <f t="shared" si="225"/>
        <v>4493.5</v>
      </c>
      <c r="K525" s="100"/>
      <c r="L525" s="100"/>
      <c r="M525" s="100"/>
    </row>
    <row r="526" spans="1:13" x14ac:dyDescent="0.25">
      <c r="A526" s="48">
        <v>509</v>
      </c>
      <c r="B526" s="81" t="s">
        <v>78</v>
      </c>
      <c r="C526" s="23">
        <v>951</v>
      </c>
      <c r="D526" s="23" t="s">
        <v>224</v>
      </c>
      <c r="E526" s="23" t="s">
        <v>261</v>
      </c>
      <c r="F526" s="22">
        <v>610</v>
      </c>
      <c r="G526" s="18">
        <f>4493.5-4297.3</f>
        <v>196.19999999999982</v>
      </c>
      <c r="H526" s="18">
        <v>4493.5</v>
      </c>
      <c r="I526" s="18">
        <v>4493.5</v>
      </c>
      <c r="K526" s="100"/>
      <c r="L526" s="100"/>
      <c r="M526" s="100"/>
    </row>
    <row r="527" spans="1:13" x14ac:dyDescent="0.25">
      <c r="A527" s="22">
        <v>510</v>
      </c>
      <c r="B527" s="112" t="s">
        <v>166</v>
      </c>
      <c r="C527" s="23">
        <v>951</v>
      </c>
      <c r="D527" s="23" t="s">
        <v>224</v>
      </c>
      <c r="E527" s="23" t="s">
        <v>262</v>
      </c>
      <c r="F527" s="22"/>
      <c r="G527" s="18">
        <f>G528+G531+G540+G534+G537</f>
        <v>23198.596999999998</v>
      </c>
      <c r="H527" s="18">
        <f t="shared" ref="H527:I527" si="226">H528+H531</f>
        <v>23903</v>
      </c>
      <c r="I527" s="18">
        <f t="shared" si="226"/>
        <v>23903</v>
      </c>
    </row>
    <row r="528" spans="1:13" x14ac:dyDescent="0.25">
      <c r="A528" s="48">
        <v>511</v>
      </c>
      <c r="B528" s="81" t="s">
        <v>77</v>
      </c>
      <c r="C528" s="23">
        <v>951</v>
      </c>
      <c r="D528" s="23" t="s">
        <v>224</v>
      </c>
      <c r="E528" s="23" t="s">
        <v>263</v>
      </c>
      <c r="F528" s="22"/>
      <c r="G528" s="18">
        <f>G529</f>
        <v>21147</v>
      </c>
      <c r="H528" s="18">
        <f t="shared" ref="H528:I528" si="227">H529</f>
        <v>23903</v>
      </c>
      <c r="I528" s="18">
        <f t="shared" si="227"/>
        <v>23903</v>
      </c>
    </row>
    <row r="529" spans="1:9" ht="30" x14ac:dyDescent="0.25">
      <c r="A529" s="22">
        <v>512</v>
      </c>
      <c r="B529" s="81" t="s">
        <v>58</v>
      </c>
      <c r="C529" s="23">
        <v>951</v>
      </c>
      <c r="D529" s="23" t="s">
        <v>224</v>
      </c>
      <c r="E529" s="23" t="s">
        <v>263</v>
      </c>
      <c r="F529" s="22">
        <v>600</v>
      </c>
      <c r="G529" s="18">
        <f>G530</f>
        <v>21147</v>
      </c>
      <c r="H529" s="18">
        <f t="shared" ref="H529:I529" si="228">H530</f>
        <v>23903</v>
      </c>
      <c r="I529" s="18">
        <f t="shared" si="228"/>
        <v>23903</v>
      </c>
    </row>
    <row r="530" spans="1:9" x14ac:dyDescent="0.25">
      <c r="A530" s="48">
        <v>513</v>
      </c>
      <c r="B530" s="81" t="s">
        <v>78</v>
      </c>
      <c r="C530" s="23">
        <v>951</v>
      </c>
      <c r="D530" s="23" t="s">
        <v>224</v>
      </c>
      <c r="E530" s="23" t="s">
        <v>263</v>
      </c>
      <c r="F530" s="22">
        <v>610</v>
      </c>
      <c r="G530" s="18">
        <f>23903-256-2500</f>
        <v>21147</v>
      </c>
      <c r="H530" s="18">
        <v>23903</v>
      </c>
      <c r="I530" s="18">
        <v>23903</v>
      </c>
    </row>
    <row r="531" spans="1:9" ht="30" x14ac:dyDescent="0.25">
      <c r="A531" s="22">
        <v>514</v>
      </c>
      <c r="B531" s="112" t="s">
        <v>443</v>
      </c>
      <c r="C531" s="23" t="s">
        <v>222</v>
      </c>
      <c r="D531" s="23" t="s">
        <v>224</v>
      </c>
      <c r="E531" s="23" t="s">
        <v>475</v>
      </c>
      <c r="F531" s="22"/>
      <c r="G531" s="18">
        <f>G532</f>
        <v>539.64699999999993</v>
      </c>
      <c r="H531" s="18">
        <f t="shared" ref="H531:I532" si="229">H532</f>
        <v>0</v>
      </c>
      <c r="I531" s="18">
        <f t="shared" si="229"/>
        <v>0</v>
      </c>
    </row>
    <row r="532" spans="1:9" ht="30" x14ac:dyDescent="0.25">
      <c r="A532" s="48">
        <v>515</v>
      </c>
      <c r="B532" s="81" t="s">
        <v>58</v>
      </c>
      <c r="C532" s="23" t="s">
        <v>222</v>
      </c>
      <c r="D532" s="23" t="s">
        <v>224</v>
      </c>
      <c r="E532" s="23" t="s">
        <v>475</v>
      </c>
      <c r="F532" s="22">
        <v>600</v>
      </c>
      <c r="G532" s="18">
        <f>G533</f>
        <v>539.64699999999993</v>
      </c>
      <c r="H532" s="18">
        <f t="shared" si="229"/>
        <v>0</v>
      </c>
      <c r="I532" s="18">
        <f t="shared" si="229"/>
        <v>0</v>
      </c>
    </row>
    <row r="533" spans="1:9" x14ac:dyDescent="0.25">
      <c r="A533" s="22">
        <v>516</v>
      </c>
      <c r="B533" s="81" t="s">
        <v>78</v>
      </c>
      <c r="C533" s="23" t="s">
        <v>222</v>
      </c>
      <c r="D533" s="23" t="s">
        <v>224</v>
      </c>
      <c r="E533" s="23" t="s">
        <v>475</v>
      </c>
      <c r="F533" s="22">
        <v>610</v>
      </c>
      <c r="G533" s="18">
        <f>359.767+179.88</f>
        <v>539.64699999999993</v>
      </c>
      <c r="H533" s="18">
        <v>0</v>
      </c>
      <c r="I533" s="18">
        <v>0</v>
      </c>
    </row>
    <row r="534" spans="1:9" ht="60" x14ac:dyDescent="0.25">
      <c r="A534" s="48">
        <v>517</v>
      </c>
      <c r="B534" s="80" t="s">
        <v>557</v>
      </c>
      <c r="C534" s="23" t="s">
        <v>222</v>
      </c>
      <c r="D534" s="23" t="s">
        <v>224</v>
      </c>
      <c r="E534" s="23" t="s">
        <v>540</v>
      </c>
      <c r="F534" s="22"/>
      <c r="G534" s="18">
        <f>G535</f>
        <v>23.8</v>
      </c>
      <c r="H534" s="18">
        <f t="shared" ref="H534:I535" si="230">H535</f>
        <v>0</v>
      </c>
      <c r="I534" s="18">
        <f t="shared" si="230"/>
        <v>0</v>
      </c>
    </row>
    <row r="535" spans="1:9" ht="30" x14ac:dyDescent="0.25">
      <c r="A535" s="22">
        <v>518</v>
      </c>
      <c r="B535" s="81" t="s">
        <v>58</v>
      </c>
      <c r="C535" s="23" t="s">
        <v>222</v>
      </c>
      <c r="D535" s="23" t="s">
        <v>224</v>
      </c>
      <c r="E535" s="23" t="s">
        <v>540</v>
      </c>
      <c r="F535" s="22">
        <v>600</v>
      </c>
      <c r="G535" s="18">
        <f>G536</f>
        <v>23.8</v>
      </c>
      <c r="H535" s="18">
        <f t="shared" si="230"/>
        <v>0</v>
      </c>
      <c r="I535" s="18">
        <f t="shared" si="230"/>
        <v>0</v>
      </c>
    </row>
    <row r="536" spans="1:9" x14ac:dyDescent="0.25">
      <c r="A536" s="48">
        <v>519</v>
      </c>
      <c r="B536" s="81" t="s">
        <v>78</v>
      </c>
      <c r="C536" s="23" t="s">
        <v>222</v>
      </c>
      <c r="D536" s="23" t="s">
        <v>224</v>
      </c>
      <c r="E536" s="23" t="s">
        <v>540</v>
      </c>
      <c r="F536" s="22">
        <v>610</v>
      </c>
      <c r="G536" s="18">
        <v>23.8</v>
      </c>
      <c r="H536" s="18">
        <v>0</v>
      </c>
      <c r="I536" s="18">
        <v>0</v>
      </c>
    </row>
    <row r="537" spans="1:9" ht="45" x14ac:dyDescent="0.25">
      <c r="A537" s="22">
        <v>520</v>
      </c>
      <c r="B537" s="80" t="s">
        <v>462</v>
      </c>
      <c r="C537" s="23" t="s">
        <v>222</v>
      </c>
      <c r="D537" s="23" t="s">
        <v>224</v>
      </c>
      <c r="E537" s="23" t="s">
        <v>541</v>
      </c>
      <c r="F537" s="22"/>
      <c r="G537" s="18">
        <f>G538</f>
        <v>1300.3</v>
      </c>
      <c r="H537" s="18">
        <f t="shared" ref="H537:I538" si="231">H538</f>
        <v>0</v>
      </c>
      <c r="I537" s="18">
        <f t="shared" si="231"/>
        <v>0</v>
      </c>
    </row>
    <row r="538" spans="1:9" ht="30" x14ac:dyDescent="0.25">
      <c r="A538" s="48">
        <v>521</v>
      </c>
      <c r="B538" s="81" t="s">
        <v>58</v>
      </c>
      <c r="C538" s="23" t="s">
        <v>222</v>
      </c>
      <c r="D538" s="23" t="s">
        <v>224</v>
      </c>
      <c r="E538" s="23" t="s">
        <v>541</v>
      </c>
      <c r="F538" s="22">
        <v>600</v>
      </c>
      <c r="G538" s="18">
        <f>G539</f>
        <v>1300.3</v>
      </c>
      <c r="H538" s="18">
        <f t="shared" si="231"/>
        <v>0</v>
      </c>
      <c r="I538" s="18">
        <f t="shared" si="231"/>
        <v>0</v>
      </c>
    </row>
    <row r="539" spans="1:9" x14ac:dyDescent="0.25">
      <c r="A539" s="22">
        <v>522</v>
      </c>
      <c r="B539" s="81" t="s">
        <v>78</v>
      </c>
      <c r="C539" s="23" t="s">
        <v>222</v>
      </c>
      <c r="D539" s="23" t="s">
        <v>224</v>
      </c>
      <c r="E539" s="23" t="s">
        <v>541</v>
      </c>
      <c r="F539" s="22">
        <v>610</v>
      </c>
      <c r="G539" s="18">
        <v>1300.3</v>
      </c>
      <c r="H539" s="18">
        <v>0</v>
      </c>
      <c r="I539" s="18">
        <v>0</v>
      </c>
    </row>
    <row r="540" spans="1:9" ht="45" x14ac:dyDescent="0.25">
      <c r="A540" s="48">
        <v>523</v>
      </c>
      <c r="B540" s="80" t="s">
        <v>491</v>
      </c>
      <c r="C540" s="23" t="s">
        <v>222</v>
      </c>
      <c r="D540" s="23" t="s">
        <v>224</v>
      </c>
      <c r="E540" s="23" t="s">
        <v>492</v>
      </c>
      <c r="F540" s="22"/>
      <c r="G540" s="18">
        <f>G541</f>
        <v>187.85</v>
      </c>
      <c r="H540" s="18">
        <f t="shared" ref="H540:I541" si="232">H541</f>
        <v>0</v>
      </c>
      <c r="I540" s="18">
        <f t="shared" si="232"/>
        <v>0</v>
      </c>
    </row>
    <row r="541" spans="1:9" ht="30" x14ac:dyDescent="0.25">
      <c r="A541" s="22">
        <v>524</v>
      </c>
      <c r="B541" s="81" t="s">
        <v>58</v>
      </c>
      <c r="C541" s="23" t="s">
        <v>222</v>
      </c>
      <c r="D541" s="23" t="s">
        <v>224</v>
      </c>
      <c r="E541" s="23" t="s">
        <v>492</v>
      </c>
      <c r="F541" s="22">
        <v>600</v>
      </c>
      <c r="G541" s="18">
        <f>G542</f>
        <v>187.85</v>
      </c>
      <c r="H541" s="18">
        <f t="shared" si="232"/>
        <v>0</v>
      </c>
      <c r="I541" s="18">
        <f t="shared" si="232"/>
        <v>0</v>
      </c>
    </row>
    <row r="542" spans="1:9" x14ac:dyDescent="0.25">
      <c r="A542" s="48">
        <v>525</v>
      </c>
      <c r="B542" s="81" t="s">
        <v>78</v>
      </c>
      <c r="C542" s="23" t="s">
        <v>222</v>
      </c>
      <c r="D542" s="23" t="s">
        <v>224</v>
      </c>
      <c r="E542" s="23" t="s">
        <v>492</v>
      </c>
      <c r="F542" s="22">
        <v>610</v>
      </c>
      <c r="G542" s="18">
        <v>187.85</v>
      </c>
      <c r="H542" s="18">
        <v>0</v>
      </c>
      <c r="I542" s="18">
        <v>0</v>
      </c>
    </row>
    <row r="543" spans="1:9" x14ac:dyDescent="0.25">
      <c r="A543" s="22">
        <v>526</v>
      </c>
      <c r="B543" s="81" t="s">
        <v>62</v>
      </c>
      <c r="C543" s="23">
        <v>951</v>
      </c>
      <c r="D543" s="23" t="s">
        <v>149</v>
      </c>
      <c r="E543" s="22"/>
      <c r="F543" s="22"/>
      <c r="G543" s="18">
        <f>G544</f>
        <v>18533.87</v>
      </c>
      <c r="H543" s="18">
        <f t="shared" ref="H543:I543" si="233">H544</f>
        <v>18894.2</v>
      </c>
      <c r="I543" s="18">
        <f t="shared" si="233"/>
        <v>18894.2</v>
      </c>
    </row>
    <row r="544" spans="1:9" ht="30" x14ac:dyDescent="0.25">
      <c r="A544" s="48">
        <v>527</v>
      </c>
      <c r="B544" s="112" t="s">
        <v>63</v>
      </c>
      <c r="C544" s="23">
        <v>951</v>
      </c>
      <c r="D544" s="23" t="s">
        <v>149</v>
      </c>
      <c r="E544" s="23" t="s">
        <v>243</v>
      </c>
      <c r="F544" s="22"/>
      <c r="G544" s="18">
        <f>G545</f>
        <v>18533.87</v>
      </c>
      <c r="H544" s="18">
        <f t="shared" ref="H544:I544" si="234">H545</f>
        <v>18894.2</v>
      </c>
      <c r="I544" s="18">
        <f t="shared" si="234"/>
        <v>18894.2</v>
      </c>
    </row>
    <row r="545" spans="1:9" x14ac:dyDescent="0.25">
      <c r="A545" s="22">
        <v>528</v>
      </c>
      <c r="B545" s="112" t="s">
        <v>64</v>
      </c>
      <c r="C545" s="23">
        <v>951</v>
      </c>
      <c r="D545" s="23" t="s">
        <v>149</v>
      </c>
      <c r="E545" s="23" t="s">
        <v>244</v>
      </c>
      <c r="F545" s="22"/>
      <c r="G545" s="18">
        <f>G546+G560+G554+G557</f>
        <v>18533.87</v>
      </c>
      <c r="H545" s="18">
        <f t="shared" ref="H545:I545" si="235">H546+H560+H554</f>
        <v>18894.2</v>
      </c>
      <c r="I545" s="18">
        <f t="shared" si="235"/>
        <v>18894.2</v>
      </c>
    </row>
    <row r="546" spans="1:9" x14ac:dyDescent="0.25">
      <c r="A546" s="48">
        <v>529</v>
      </c>
      <c r="B546" s="112" t="s">
        <v>180</v>
      </c>
      <c r="C546" s="23">
        <v>951</v>
      </c>
      <c r="D546" s="23" t="s">
        <v>149</v>
      </c>
      <c r="E546" s="23" t="s">
        <v>264</v>
      </c>
      <c r="F546" s="22"/>
      <c r="G546" s="18">
        <f>G547+G549+G551</f>
        <v>17038.2</v>
      </c>
      <c r="H546" s="18">
        <f t="shared" ref="H546:I546" si="236">H547+H549+H551</f>
        <v>17828.2</v>
      </c>
      <c r="I546" s="18">
        <f t="shared" si="236"/>
        <v>17828.2</v>
      </c>
    </row>
    <row r="547" spans="1:9" ht="45" x14ac:dyDescent="0.25">
      <c r="A547" s="22">
        <v>530</v>
      </c>
      <c r="B547" s="81" t="s">
        <v>17</v>
      </c>
      <c r="C547" s="23">
        <v>951</v>
      </c>
      <c r="D547" s="23" t="s">
        <v>149</v>
      </c>
      <c r="E547" s="23" t="s">
        <v>264</v>
      </c>
      <c r="F547" s="22">
        <v>100</v>
      </c>
      <c r="G547" s="18">
        <f>G548</f>
        <v>14569.04</v>
      </c>
      <c r="H547" s="18">
        <f t="shared" ref="H547:I547" si="237">H548</f>
        <v>15059.04</v>
      </c>
      <c r="I547" s="18">
        <f t="shared" si="237"/>
        <v>15059.04</v>
      </c>
    </row>
    <row r="548" spans="1:9" x14ac:dyDescent="0.25">
      <c r="A548" s="48">
        <v>531</v>
      </c>
      <c r="B548" s="81" t="s">
        <v>73</v>
      </c>
      <c r="C548" s="23">
        <v>951</v>
      </c>
      <c r="D548" s="23" t="s">
        <v>149</v>
      </c>
      <c r="E548" s="23" t="s">
        <v>264</v>
      </c>
      <c r="F548" s="22">
        <v>110</v>
      </c>
      <c r="G548" s="18">
        <f>15059.04-490</f>
        <v>14569.04</v>
      </c>
      <c r="H548" s="18">
        <v>15059.04</v>
      </c>
      <c r="I548" s="18">
        <v>15059.04</v>
      </c>
    </row>
    <row r="549" spans="1:9" x14ac:dyDescent="0.25">
      <c r="A549" s="22">
        <v>532</v>
      </c>
      <c r="B549" s="81" t="s">
        <v>23</v>
      </c>
      <c r="C549" s="23">
        <v>951</v>
      </c>
      <c r="D549" s="23" t="s">
        <v>149</v>
      </c>
      <c r="E549" s="23" t="s">
        <v>264</v>
      </c>
      <c r="F549" s="22">
        <v>200</v>
      </c>
      <c r="G549" s="18">
        <f>G550</f>
        <v>2454.16</v>
      </c>
      <c r="H549" s="18">
        <f t="shared" ref="H549:I549" si="238">H550</f>
        <v>2754.16</v>
      </c>
      <c r="I549" s="18">
        <f t="shared" si="238"/>
        <v>2754.16</v>
      </c>
    </row>
    <row r="550" spans="1:9" x14ac:dyDescent="0.25">
      <c r="A550" s="48">
        <v>533</v>
      </c>
      <c r="B550" s="81" t="s">
        <v>24</v>
      </c>
      <c r="C550" s="23">
        <v>951</v>
      </c>
      <c r="D550" s="23" t="s">
        <v>149</v>
      </c>
      <c r="E550" s="23" t="s">
        <v>264</v>
      </c>
      <c r="F550" s="22">
        <v>240</v>
      </c>
      <c r="G550" s="18">
        <f>2754.16-300</f>
        <v>2454.16</v>
      </c>
      <c r="H550" s="18">
        <v>2754.16</v>
      </c>
      <c r="I550" s="18">
        <v>2754.16</v>
      </c>
    </row>
    <row r="551" spans="1:9" x14ac:dyDescent="0.25">
      <c r="A551" s="22">
        <v>534</v>
      </c>
      <c r="B551" s="81" t="s">
        <v>38</v>
      </c>
      <c r="C551" s="23">
        <v>951</v>
      </c>
      <c r="D551" s="23" t="s">
        <v>149</v>
      </c>
      <c r="E551" s="23" t="s">
        <v>264</v>
      </c>
      <c r="F551" s="22">
        <v>800</v>
      </c>
      <c r="G551" s="18">
        <f>G552+G553</f>
        <v>15</v>
      </c>
      <c r="H551" s="18">
        <f t="shared" ref="H551:I551" si="239">H552+H553</f>
        <v>15</v>
      </c>
      <c r="I551" s="18">
        <f t="shared" si="239"/>
        <v>15</v>
      </c>
    </row>
    <row r="552" spans="1:9" x14ac:dyDescent="0.25">
      <c r="A552" s="48">
        <v>535</v>
      </c>
      <c r="B552" s="20" t="s">
        <v>44</v>
      </c>
      <c r="C552" s="23">
        <v>951</v>
      </c>
      <c r="D552" s="23" t="s">
        <v>149</v>
      </c>
      <c r="E552" s="23" t="s">
        <v>264</v>
      </c>
      <c r="F552" s="22">
        <v>830</v>
      </c>
      <c r="G552" s="18">
        <v>2</v>
      </c>
      <c r="H552" s="18">
        <v>2</v>
      </c>
      <c r="I552" s="18">
        <v>2</v>
      </c>
    </row>
    <row r="553" spans="1:9" x14ac:dyDescent="0.25">
      <c r="A553" s="22">
        <v>536</v>
      </c>
      <c r="B553" s="81" t="s">
        <v>108</v>
      </c>
      <c r="C553" s="23">
        <v>951</v>
      </c>
      <c r="D553" s="23" t="s">
        <v>149</v>
      </c>
      <c r="E553" s="23" t="s">
        <v>264</v>
      </c>
      <c r="F553" s="22">
        <v>850</v>
      </c>
      <c r="G553" s="18">
        <v>13</v>
      </c>
      <c r="H553" s="18">
        <v>13</v>
      </c>
      <c r="I553" s="18">
        <v>13</v>
      </c>
    </row>
    <row r="554" spans="1:9" ht="30" x14ac:dyDescent="0.25">
      <c r="A554" s="48">
        <v>537</v>
      </c>
      <c r="B554" s="112" t="s">
        <v>443</v>
      </c>
      <c r="C554" s="23" t="s">
        <v>222</v>
      </c>
      <c r="D554" s="23" t="s">
        <v>149</v>
      </c>
      <c r="E554" s="23" t="s">
        <v>476</v>
      </c>
      <c r="F554" s="22"/>
      <c r="G554" s="18">
        <f>G555</f>
        <v>289</v>
      </c>
      <c r="H554" s="18">
        <f t="shared" ref="H554:I555" si="240">H555</f>
        <v>0</v>
      </c>
      <c r="I554" s="18">
        <f t="shared" si="240"/>
        <v>0</v>
      </c>
    </row>
    <row r="555" spans="1:9" ht="45" x14ac:dyDescent="0.25">
      <c r="A555" s="22">
        <v>538</v>
      </c>
      <c r="B555" s="81" t="s">
        <v>17</v>
      </c>
      <c r="C555" s="23" t="s">
        <v>222</v>
      </c>
      <c r="D555" s="23" t="s">
        <v>149</v>
      </c>
      <c r="E555" s="23" t="s">
        <v>476</v>
      </c>
      <c r="F555" s="22">
        <v>100</v>
      </c>
      <c r="G555" s="18">
        <f>G556</f>
        <v>289</v>
      </c>
      <c r="H555" s="18">
        <f t="shared" si="240"/>
        <v>0</v>
      </c>
      <c r="I555" s="18">
        <f t="shared" si="240"/>
        <v>0</v>
      </c>
    </row>
    <row r="556" spans="1:9" x14ac:dyDescent="0.25">
      <c r="A556" s="48">
        <v>539</v>
      </c>
      <c r="B556" s="81" t="s">
        <v>73</v>
      </c>
      <c r="C556" s="23" t="s">
        <v>222</v>
      </c>
      <c r="D556" s="23" t="s">
        <v>149</v>
      </c>
      <c r="E556" s="23" t="s">
        <v>476</v>
      </c>
      <c r="F556" s="22">
        <v>110</v>
      </c>
      <c r="G556" s="18">
        <f>192.7+96.3</f>
        <v>289</v>
      </c>
      <c r="H556" s="18">
        <v>0</v>
      </c>
      <c r="I556" s="18">
        <v>0</v>
      </c>
    </row>
    <row r="557" spans="1:9" ht="60" x14ac:dyDescent="0.25">
      <c r="A557" s="22">
        <v>540</v>
      </c>
      <c r="B557" s="118" t="s">
        <v>556</v>
      </c>
      <c r="C557" s="23" t="s">
        <v>222</v>
      </c>
      <c r="D557" s="23" t="s">
        <v>149</v>
      </c>
      <c r="E557" s="23" t="s">
        <v>542</v>
      </c>
      <c r="F557" s="22"/>
      <c r="G557" s="18">
        <f>G558</f>
        <v>140.66999999999999</v>
      </c>
      <c r="H557" s="18">
        <f t="shared" ref="H557:I558" si="241">H558</f>
        <v>0</v>
      </c>
      <c r="I557" s="18">
        <f t="shared" si="241"/>
        <v>0</v>
      </c>
    </row>
    <row r="558" spans="1:9" ht="45" x14ac:dyDescent="0.25">
      <c r="A558" s="48">
        <v>541</v>
      </c>
      <c r="B558" s="81" t="s">
        <v>17</v>
      </c>
      <c r="C558" s="23" t="s">
        <v>222</v>
      </c>
      <c r="D558" s="23" t="s">
        <v>149</v>
      </c>
      <c r="E558" s="23" t="s">
        <v>542</v>
      </c>
      <c r="F558" s="22">
        <v>100</v>
      </c>
      <c r="G558" s="18">
        <f>G559</f>
        <v>140.66999999999999</v>
      </c>
      <c r="H558" s="18">
        <f t="shared" si="241"/>
        <v>0</v>
      </c>
      <c r="I558" s="18">
        <f t="shared" si="241"/>
        <v>0</v>
      </c>
    </row>
    <row r="559" spans="1:9" x14ac:dyDescent="0.25">
      <c r="A559" s="22">
        <v>542</v>
      </c>
      <c r="B559" s="81" t="s">
        <v>73</v>
      </c>
      <c r="C559" s="23" t="s">
        <v>222</v>
      </c>
      <c r="D559" s="23" t="s">
        <v>149</v>
      </c>
      <c r="E559" s="23" t="s">
        <v>542</v>
      </c>
      <c r="F559" s="22">
        <v>110</v>
      </c>
      <c r="G559" s="18">
        <v>140.66999999999999</v>
      </c>
      <c r="H559" s="18">
        <v>0</v>
      </c>
      <c r="I559" s="18">
        <v>0</v>
      </c>
    </row>
    <row r="560" spans="1:9" ht="60" x14ac:dyDescent="0.25">
      <c r="A560" s="48">
        <v>543</v>
      </c>
      <c r="B560" s="115" t="s">
        <v>208</v>
      </c>
      <c r="C560" s="23">
        <v>951</v>
      </c>
      <c r="D560" s="23" t="s">
        <v>149</v>
      </c>
      <c r="E560" s="23" t="s">
        <v>265</v>
      </c>
      <c r="F560" s="22"/>
      <c r="G560" s="18">
        <f>G561+G563</f>
        <v>1066</v>
      </c>
      <c r="H560" s="18">
        <f>H561+H563</f>
        <v>1066</v>
      </c>
      <c r="I560" s="18">
        <f>I561+I563</f>
        <v>1066</v>
      </c>
    </row>
    <row r="561" spans="1:9" x14ac:dyDescent="0.25">
      <c r="A561" s="22">
        <v>544</v>
      </c>
      <c r="B561" s="81" t="s">
        <v>98</v>
      </c>
      <c r="C561" s="23">
        <v>951</v>
      </c>
      <c r="D561" s="23" t="s">
        <v>149</v>
      </c>
      <c r="E561" s="23" t="s">
        <v>265</v>
      </c>
      <c r="F561" s="22">
        <v>300</v>
      </c>
      <c r="G561" s="18">
        <f>G562</f>
        <v>1055.44</v>
      </c>
      <c r="H561" s="18">
        <f t="shared" ref="H561:I561" si="242">H562</f>
        <v>1055.44</v>
      </c>
      <c r="I561" s="18">
        <f t="shared" si="242"/>
        <v>1055.44</v>
      </c>
    </row>
    <row r="562" spans="1:9" x14ac:dyDescent="0.25">
      <c r="A562" s="48">
        <v>545</v>
      </c>
      <c r="B562" s="81" t="s">
        <v>111</v>
      </c>
      <c r="C562" s="23">
        <v>951</v>
      </c>
      <c r="D562" s="23" t="s">
        <v>149</v>
      </c>
      <c r="E562" s="23" t="s">
        <v>265</v>
      </c>
      <c r="F562" s="22">
        <v>320</v>
      </c>
      <c r="G562" s="18">
        <v>1055.44</v>
      </c>
      <c r="H562" s="18">
        <v>1055.44</v>
      </c>
      <c r="I562" s="18">
        <v>1055.44</v>
      </c>
    </row>
    <row r="563" spans="1:9" x14ac:dyDescent="0.25">
      <c r="A563" s="22">
        <v>546</v>
      </c>
      <c r="B563" s="81" t="s">
        <v>23</v>
      </c>
      <c r="C563" s="23">
        <v>951</v>
      </c>
      <c r="D563" s="23" t="s">
        <v>149</v>
      </c>
      <c r="E563" s="23" t="s">
        <v>265</v>
      </c>
      <c r="F563" s="22">
        <v>200</v>
      </c>
      <c r="G563" s="18">
        <f>G564</f>
        <v>10.56</v>
      </c>
      <c r="H563" s="18">
        <f t="shared" ref="H563:I563" si="243">H564</f>
        <v>10.56</v>
      </c>
      <c r="I563" s="18">
        <f t="shared" si="243"/>
        <v>10.56</v>
      </c>
    </row>
    <row r="564" spans="1:9" x14ac:dyDescent="0.25">
      <c r="A564" s="48">
        <v>547</v>
      </c>
      <c r="B564" s="81" t="s">
        <v>24</v>
      </c>
      <c r="C564" s="23">
        <v>951</v>
      </c>
      <c r="D564" s="23" t="s">
        <v>149</v>
      </c>
      <c r="E564" s="23" t="s">
        <v>265</v>
      </c>
      <c r="F564" s="22">
        <v>240</v>
      </c>
      <c r="G564" s="18">
        <v>10.56</v>
      </c>
      <c r="H564" s="18">
        <v>10.56</v>
      </c>
      <c r="I564" s="18">
        <v>10.56</v>
      </c>
    </row>
    <row r="565" spans="1:9" x14ac:dyDescent="0.25">
      <c r="A565" s="22">
        <v>548</v>
      </c>
      <c r="B565" s="57" t="s">
        <v>154</v>
      </c>
      <c r="C565" s="21" t="s">
        <v>222</v>
      </c>
      <c r="D565" s="21" t="s">
        <v>155</v>
      </c>
      <c r="E565" s="32"/>
      <c r="F565" s="22"/>
      <c r="G565" s="18">
        <f t="shared" ref="G565:G572" si="244">G566</f>
        <v>9163.0999999999985</v>
      </c>
      <c r="H565" s="18">
        <f t="shared" ref="H565:I568" si="245">H566</f>
        <v>9163.0999999999985</v>
      </c>
      <c r="I565" s="18">
        <f t="shared" si="245"/>
        <v>9163.0999999999985</v>
      </c>
    </row>
    <row r="566" spans="1:9" x14ac:dyDescent="0.25">
      <c r="A566" s="48">
        <v>549</v>
      </c>
      <c r="B566" s="112" t="s">
        <v>103</v>
      </c>
      <c r="C566" s="21" t="s">
        <v>222</v>
      </c>
      <c r="D566" s="21" t="s">
        <v>158</v>
      </c>
      <c r="E566" s="32"/>
      <c r="F566" s="22"/>
      <c r="G566" s="18">
        <f t="shared" si="244"/>
        <v>9163.0999999999985</v>
      </c>
      <c r="H566" s="18">
        <f t="shared" si="245"/>
        <v>9163.0999999999985</v>
      </c>
      <c r="I566" s="18">
        <f t="shared" si="245"/>
        <v>9163.0999999999985</v>
      </c>
    </row>
    <row r="567" spans="1:9" ht="30" x14ac:dyDescent="0.25">
      <c r="A567" s="22">
        <v>550</v>
      </c>
      <c r="B567" s="112" t="s">
        <v>63</v>
      </c>
      <c r="C567" s="21" t="s">
        <v>222</v>
      </c>
      <c r="D567" s="21" t="s">
        <v>158</v>
      </c>
      <c r="E567" s="21" t="s">
        <v>243</v>
      </c>
      <c r="F567" s="22"/>
      <c r="G567" s="18">
        <f t="shared" si="244"/>
        <v>9163.0999999999985</v>
      </c>
      <c r="H567" s="18">
        <f t="shared" si="245"/>
        <v>9163.0999999999985</v>
      </c>
      <c r="I567" s="18">
        <f t="shared" si="245"/>
        <v>9163.0999999999985</v>
      </c>
    </row>
    <row r="568" spans="1:9" x14ac:dyDescent="0.25">
      <c r="A568" s="48">
        <v>551</v>
      </c>
      <c r="B568" s="112" t="s">
        <v>165</v>
      </c>
      <c r="C568" s="21">
        <v>951</v>
      </c>
      <c r="D568" s="21" t="s">
        <v>158</v>
      </c>
      <c r="E568" s="21" t="s">
        <v>258</v>
      </c>
      <c r="F568" s="22"/>
      <c r="G568" s="18">
        <f t="shared" si="244"/>
        <v>9163.0999999999985</v>
      </c>
      <c r="H568" s="18">
        <f t="shared" si="245"/>
        <v>9163.0999999999985</v>
      </c>
      <c r="I568" s="18">
        <f t="shared" si="245"/>
        <v>9163.0999999999985</v>
      </c>
    </row>
    <row r="569" spans="1:9" ht="60" x14ac:dyDescent="0.25">
      <c r="A569" s="22">
        <v>552</v>
      </c>
      <c r="B569" s="31" t="s">
        <v>182</v>
      </c>
      <c r="C569" s="21">
        <v>951</v>
      </c>
      <c r="D569" s="21" t="s">
        <v>158</v>
      </c>
      <c r="E569" s="21" t="s">
        <v>266</v>
      </c>
      <c r="F569" s="22"/>
      <c r="G569" s="18">
        <f>G570+G572</f>
        <v>9163.0999999999985</v>
      </c>
      <c r="H569" s="18">
        <f t="shared" ref="H569:I569" si="246">H570+H572</f>
        <v>9163.0999999999985</v>
      </c>
      <c r="I569" s="18">
        <f t="shared" si="246"/>
        <v>9163.0999999999985</v>
      </c>
    </row>
    <row r="570" spans="1:9" x14ac:dyDescent="0.25">
      <c r="A570" s="48">
        <v>553</v>
      </c>
      <c r="B570" s="81" t="s">
        <v>98</v>
      </c>
      <c r="C570" s="21">
        <v>951</v>
      </c>
      <c r="D570" s="21" t="s">
        <v>158</v>
      </c>
      <c r="E570" s="21" t="s">
        <v>266</v>
      </c>
      <c r="F570" s="22">
        <v>300</v>
      </c>
      <c r="G570" s="18">
        <f>G571</f>
        <v>97</v>
      </c>
      <c r="H570" s="18">
        <f t="shared" ref="H570:I570" si="247">H571</f>
        <v>97</v>
      </c>
      <c r="I570" s="18">
        <f t="shared" si="247"/>
        <v>97</v>
      </c>
    </row>
    <row r="571" spans="1:9" x14ac:dyDescent="0.25">
      <c r="A571" s="22">
        <v>554</v>
      </c>
      <c r="B571" s="81" t="s">
        <v>111</v>
      </c>
      <c r="C571" s="21">
        <v>951</v>
      </c>
      <c r="D571" s="21" t="s">
        <v>158</v>
      </c>
      <c r="E571" s="21" t="s">
        <v>266</v>
      </c>
      <c r="F571" s="22">
        <v>320</v>
      </c>
      <c r="G571" s="18">
        <v>97</v>
      </c>
      <c r="H571" s="18">
        <v>97</v>
      </c>
      <c r="I571" s="18">
        <v>97</v>
      </c>
    </row>
    <row r="572" spans="1:9" ht="30" x14ac:dyDescent="0.25">
      <c r="A572" s="48">
        <v>555</v>
      </c>
      <c r="B572" s="81" t="s">
        <v>58</v>
      </c>
      <c r="C572" s="21">
        <v>951</v>
      </c>
      <c r="D572" s="21" t="s">
        <v>158</v>
      </c>
      <c r="E572" s="21" t="s">
        <v>266</v>
      </c>
      <c r="F572" s="22">
        <v>600</v>
      </c>
      <c r="G572" s="18">
        <f t="shared" si="244"/>
        <v>9066.0999999999985</v>
      </c>
      <c r="H572" s="18">
        <f t="shared" ref="H572:I572" si="248">H573</f>
        <v>9066.0999999999985</v>
      </c>
      <c r="I572" s="18">
        <f t="shared" si="248"/>
        <v>9066.0999999999985</v>
      </c>
    </row>
    <row r="573" spans="1:9" x14ac:dyDescent="0.25">
      <c r="A573" s="22">
        <v>556</v>
      </c>
      <c r="B573" s="81" t="s">
        <v>78</v>
      </c>
      <c r="C573" s="21">
        <v>951</v>
      </c>
      <c r="D573" s="21" t="s">
        <v>158</v>
      </c>
      <c r="E573" s="21" t="s">
        <v>266</v>
      </c>
      <c r="F573" s="22">
        <v>610</v>
      </c>
      <c r="G573" s="18">
        <f>9063.8+2.3</f>
        <v>9066.0999999999985</v>
      </c>
      <c r="H573" s="18">
        <f>9063.8+2.3</f>
        <v>9066.0999999999985</v>
      </c>
      <c r="I573" s="18">
        <f>9063.8+2.3</f>
        <v>9066.0999999999985</v>
      </c>
    </row>
    <row r="574" spans="1:9" ht="33.75" customHeight="1" x14ac:dyDescent="0.25">
      <c r="A574" s="48">
        <v>557</v>
      </c>
      <c r="B574" s="55" t="s">
        <v>314</v>
      </c>
      <c r="C574" s="50">
        <v>952</v>
      </c>
      <c r="D574" s="50" t="s">
        <v>144</v>
      </c>
      <c r="E574" s="46"/>
      <c r="F574" s="46"/>
      <c r="G574" s="47">
        <f>G575+G629+G693</f>
        <v>115482.4</v>
      </c>
      <c r="H574" s="47">
        <f>H575+H629+H693</f>
        <v>89475.390000000014</v>
      </c>
      <c r="I574" s="47">
        <f>I575+I629+I693</f>
        <v>89475.390000000014</v>
      </c>
    </row>
    <row r="575" spans="1:9" x14ac:dyDescent="0.25">
      <c r="A575" s="22">
        <v>558</v>
      </c>
      <c r="B575" s="57" t="s">
        <v>143</v>
      </c>
      <c r="C575" s="39">
        <v>952</v>
      </c>
      <c r="D575" s="39" t="s">
        <v>144</v>
      </c>
      <c r="E575" s="111"/>
      <c r="F575" s="111"/>
      <c r="G575" s="30">
        <f>G576+G594</f>
        <v>33508.39</v>
      </c>
      <c r="H575" s="30">
        <f>H576+H594</f>
        <v>31625.54</v>
      </c>
      <c r="I575" s="30">
        <f>I576+I594</f>
        <v>31625.54</v>
      </c>
    </row>
    <row r="576" spans="1:9" x14ac:dyDescent="0.25">
      <c r="A576" s="48">
        <v>559</v>
      </c>
      <c r="B576" s="112" t="s">
        <v>215</v>
      </c>
      <c r="C576" s="23">
        <v>952</v>
      </c>
      <c r="D576" s="23" t="s">
        <v>224</v>
      </c>
      <c r="E576" s="111"/>
      <c r="F576" s="111"/>
      <c r="G576" s="30">
        <f t="shared" ref="G576:G580" si="249">G577</f>
        <v>28143.119999999999</v>
      </c>
      <c r="H576" s="30">
        <f t="shared" ref="H576:I579" si="250">H577</f>
        <v>25773.74</v>
      </c>
      <c r="I576" s="30">
        <f t="shared" si="250"/>
        <v>25773.74</v>
      </c>
    </row>
    <row r="577" spans="1:9" x14ac:dyDescent="0.25">
      <c r="A577" s="22">
        <v>560</v>
      </c>
      <c r="B577" s="112" t="s">
        <v>434</v>
      </c>
      <c r="C577" s="39">
        <v>952</v>
      </c>
      <c r="D577" s="39" t="s">
        <v>224</v>
      </c>
      <c r="E577" s="39" t="s">
        <v>248</v>
      </c>
      <c r="F577" s="111"/>
      <c r="G577" s="30">
        <f>G578</f>
        <v>28143.119999999999</v>
      </c>
      <c r="H577" s="30">
        <f t="shared" si="250"/>
        <v>25773.74</v>
      </c>
      <c r="I577" s="30">
        <f t="shared" si="250"/>
        <v>25773.74</v>
      </c>
    </row>
    <row r="578" spans="1:9" x14ac:dyDescent="0.25">
      <c r="A578" s="48">
        <v>561</v>
      </c>
      <c r="B578" s="112" t="s">
        <v>76</v>
      </c>
      <c r="C578" s="39">
        <v>952</v>
      </c>
      <c r="D578" s="23" t="s">
        <v>224</v>
      </c>
      <c r="E578" s="39" t="s">
        <v>267</v>
      </c>
      <c r="F578" s="111"/>
      <c r="G578" s="18">
        <f>G579+G582+G591+G585+G588</f>
        <v>28143.119999999999</v>
      </c>
      <c r="H578" s="18">
        <f t="shared" ref="H578:I578" si="251">H579+H582+H591+H585</f>
        <v>25773.74</v>
      </c>
      <c r="I578" s="18">
        <f t="shared" si="251"/>
        <v>25773.74</v>
      </c>
    </row>
    <row r="579" spans="1:9" x14ac:dyDescent="0.25">
      <c r="A579" s="22">
        <v>562</v>
      </c>
      <c r="B579" s="112" t="s">
        <v>77</v>
      </c>
      <c r="C579" s="39">
        <v>952</v>
      </c>
      <c r="D579" s="39" t="s">
        <v>224</v>
      </c>
      <c r="E579" s="39" t="s">
        <v>268</v>
      </c>
      <c r="F579" s="111"/>
      <c r="G579" s="18">
        <f t="shared" si="249"/>
        <v>25573.74</v>
      </c>
      <c r="H579" s="18">
        <f t="shared" si="250"/>
        <v>25773.74</v>
      </c>
      <c r="I579" s="18">
        <f t="shared" si="250"/>
        <v>25773.74</v>
      </c>
    </row>
    <row r="580" spans="1:9" ht="30" x14ac:dyDescent="0.25">
      <c r="A580" s="48">
        <v>563</v>
      </c>
      <c r="B580" s="81" t="s">
        <v>58</v>
      </c>
      <c r="C580" s="39">
        <v>952</v>
      </c>
      <c r="D580" s="23" t="s">
        <v>224</v>
      </c>
      <c r="E580" s="39" t="s">
        <v>268</v>
      </c>
      <c r="F580" s="111">
        <v>600</v>
      </c>
      <c r="G580" s="18">
        <f t="shared" si="249"/>
        <v>25573.74</v>
      </c>
      <c r="H580" s="18">
        <f t="shared" ref="H580:I580" si="252">H581</f>
        <v>25773.74</v>
      </c>
      <c r="I580" s="18">
        <f t="shared" si="252"/>
        <v>25773.74</v>
      </c>
    </row>
    <row r="581" spans="1:9" x14ac:dyDescent="0.25">
      <c r="A581" s="22">
        <v>564</v>
      </c>
      <c r="B581" s="81" t="s">
        <v>78</v>
      </c>
      <c r="C581" s="39">
        <v>952</v>
      </c>
      <c r="D581" s="39" t="s">
        <v>224</v>
      </c>
      <c r="E581" s="39" t="s">
        <v>268</v>
      </c>
      <c r="F581" s="111">
        <v>610</v>
      </c>
      <c r="G581" s="18">
        <f>25773.74-200</f>
        <v>25573.74</v>
      </c>
      <c r="H581" s="18">
        <v>25773.74</v>
      </c>
      <c r="I581" s="18">
        <v>25773.74</v>
      </c>
    </row>
    <row r="582" spans="1:9" ht="30" x14ac:dyDescent="0.25">
      <c r="A582" s="48">
        <v>565</v>
      </c>
      <c r="B582" s="112" t="s">
        <v>443</v>
      </c>
      <c r="C582" s="39" t="s">
        <v>412</v>
      </c>
      <c r="D582" s="39" t="s">
        <v>224</v>
      </c>
      <c r="E582" s="39" t="s">
        <v>461</v>
      </c>
      <c r="F582" s="111"/>
      <c r="G582" s="18">
        <f>G583</f>
        <v>1158.8</v>
      </c>
      <c r="H582" s="18">
        <f t="shared" ref="H582:I583" si="253">H583</f>
        <v>0</v>
      </c>
      <c r="I582" s="18">
        <f t="shared" si="253"/>
        <v>0</v>
      </c>
    </row>
    <row r="583" spans="1:9" ht="30" x14ac:dyDescent="0.25">
      <c r="A583" s="22">
        <v>566</v>
      </c>
      <c r="B583" s="81" t="s">
        <v>58</v>
      </c>
      <c r="C583" s="39" t="s">
        <v>412</v>
      </c>
      <c r="D583" s="39" t="s">
        <v>224</v>
      </c>
      <c r="E583" s="39" t="s">
        <v>461</v>
      </c>
      <c r="F583" s="111">
        <v>600</v>
      </c>
      <c r="G583" s="18">
        <f>G584</f>
        <v>1158.8</v>
      </c>
      <c r="H583" s="18">
        <f t="shared" si="253"/>
        <v>0</v>
      </c>
      <c r="I583" s="18">
        <f t="shared" si="253"/>
        <v>0</v>
      </c>
    </row>
    <row r="584" spans="1:9" x14ac:dyDescent="0.25">
      <c r="A584" s="48">
        <v>567</v>
      </c>
      <c r="B584" s="81" t="s">
        <v>78</v>
      </c>
      <c r="C584" s="39" t="s">
        <v>412</v>
      </c>
      <c r="D584" s="39" t="s">
        <v>224</v>
      </c>
      <c r="E584" s="39" t="s">
        <v>461</v>
      </c>
      <c r="F584" s="111">
        <v>610</v>
      </c>
      <c r="G584" s="18">
        <f>465.3+693.5</f>
        <v>1158.8</v>
      </c>
      <c r="H584" s="18">
        <v>0</v>
      </c>
      <c r="I584" s="18">
        <v>0</v>
      </c>
    </row>
    <row r="585" spans="1:9" ht="60" x14ac:dyDescent="0.25">
      <c r="A585" s="22">
        <v>568</v>
      </c>
      <c r="B585" s="80" t="s">
        <v>557</v>
      </c>
      <c r="C585" s="39" t="s">
        <v>412</v>
      </c>
      <c r="D585" s="39" t="s">
        <v>224</v>
      </c>
      <c r="E585" s="39" t="s">
        <v>543</v>
      </c>
      <c r="F585" s="111"/>
      <c r="G585" s="18">
        <f>G586</f>
        <v>23.8</v>
      </c>
      <c r="H585" s="18">
        <f t="shared" ref="H585:I586" si="254">H586</f>
        <v>0</v>
      </c>
      <c r="I585" s="18">
        <f t="shared" si="254"/>
        <v>0</v>
      </c>
    </row>
    <row r="586" spans="1:9" ht="30" x14ac:dyDescent="0.25">
      <c r="A586" s="48">
        <v>569</v>
      </c>
      <c r="B586" s="81" t="s">
        <v>58</v>
      </c>
      <c r="C586" s="39" t="s">
        <v>412</v>
      </c>
      <c r="D586" s="39" t="s">
        <v>224</v>
      </c>
      <c r="E586" s="39" t="s">
        <v>543</v>
      </c>
      <c r="F586" s="111">
        <v>600</v>
      </c>
      <c r="G586" s="18">
        <f>G587</f>
        <v>23.8</v>
      </c>
      <c r="H586" s="18">
        <f t="shared" si="254"/>
        <v>0</v>
      </c>
      <c r="I586" s="18">
        <f t="shared" si="254"/>
        <v>0</v>
      </c>
    </row>
    <row r="587" spans="1:9" x14ac:dyDescent="0.25">
      <c r="A587" s="22">
        <v>570</v>
      </c>
      <c r="B587" s="81" t="s">
        <v>78</v>
      </c>
      <c r="C587" s="39" t="s">
        <v>412</v>
      </c>
      <c r="D587" s="39" t="s">
        <v>224</v>
      </c>
      <c r="E587" s="39" t="s">
        <v>543</v>
      </c>
      <c r="F587" s="111">
        <v>610</v>
      </c>
      <c r="G587" s="18">
        <v>23.8</v>
      </c>
      <c r="H587" s="18">
        <v>0</v>
      </c>
      <c r="I587" s="18">
        <v>0</v>
      </c>
    </row>
    <row r="588" spans="1:9" ht="60" x14ac:dyDescent="0.25">
      <c r="A588" s="48">
        <v>571</v>
      </c>
      <c r="B588" s="118" t="s">
        <v>556</v>
      </c>
      <c r="C588" s="39" t="s">
        <v>412</v>
      </c>
      <c r="D588" s="39" t="s">
        <v>224</v>
      </c>
      <c r="E588" s="39" t="s">
        <v>544</v>
      </c>
      <c r="F588" s="111"/>
      <c r="G588" s="18">
        <f>G589</f>
        <v>86.48</v>
      </c>
      <c r="H588" s="18"/>
      <c r="I588" s="18"/>
    </row>
    <row r="589" spans="1:9" ht="30" x14ac:dyDescent="0.25">
      <c r="A589" s="22">
        <v>572</v>
      </c>
      <c r="B589" s="81" t="s">
        <v>58</v>
      </c>
      <c r="C589" s="39" t="s">
        <v>412</v>
      </c>
      <c r="D589" s="39" t="s">
        <v>224</v>
      </c>
      <c r="E589" s="39" t="s">
        <v>544</v>
      </c>
      <c r="F589" s="111">
        <v>600</v>
      </c>
      <c r="G589" s="18">
        <f>G590</f>
        <v>86.48</v>
      </c>
      <c r="H589" s="18"/>
      <c r="I589" s="18"/>
    </row>
    <row r="590" spans="1:9" x14ac:dyDescent="0.25">
      <c r="A590" s="48">
        <v>573</v>
      </c>
      <c r="B590" s="81" t="s">
        <v>78</v>
      </c>
      <c r="C590" s="39" t="s">
        <v>412</v>
      </c>
      <c r="D590" s="39" t="s">
        <v>224</v>
      </c>
      <c r="E590" s="39" t="s">
        <v>544</v>
      </c>
      <c r="F590" s="111">
        <v>610</v>
      </c>
      <c r="G590" s="18">
        <v>86.48</v>
      </c>
      <c r="H590" s="18">
        <v>0</v>
      </c>
      <c r="I590" s="18">
        <v>0</v>
      </c>
    </row>
    <row r="591" spans="1:9" ht="45" x14ac:dyDescent="0.25">
      <c r="A591" s="22">
        <v>574</v>
      </c>
      <c r="B591" s="80" t="s">
        <v>462</v>
      </c>
      <c r="C591" s="39" t="s">
        <v>412</v>
      </c>
      <c r="D591" s="39" t="s">
        <v>224</v>
      </c>
      <c r="E591" s="39" t="s">
        <v>463</v>
      </c>
      <c r="F591" s="111"/>
      <c r="G591" s="18">
        <f>G592</f>
        <v>1300.3</v>
      </c>
      <c r="H591" s="18">
        <f>H592</f>
        <v>0</v>
      </c>
      <c r="I591" s="18"/>
    </row>
    <row r="592" spans="1:9" ht="30" x14ac:dyDescent="0.25">
      <c r="A592" s="48">
        <v>575</v>
      </c>
      <c r="B592" s="81" t="s">
        <v>58</v>
      </c>
      <c r="C592" s="39" t="s">
        <v>412</v>
      </c>
      <c r="D592" s="39" t="s">
        <v>224</v>
      </c>
      <c r="E592" s="39" t="s">
        <v>463</v>
      </c>
      <c r="F592" s="111">
        <v>600</v>
      </c>
      <c r="G592" s="18">
        <f>G593</f>
        <v>1300.3</v>
      </c>
      <c r="H592" s="18">
        <f>H593</f>
        <v>0</v>
      </c>
      <c r="I592" s="18"/>
    </row>
    <row r="593" spans="1:9" x14ac:dyDescent="0.25">
      <c r="A593" s="22">
        <v>576</v>
      </c>
      <c r="B593" s="81" t="s">
        <v>78</v>
      </c>
      <c r="C593" s="39" t="s">
        <v>412</v>
      </c>
      <c r="D593" s="39" t="s">
        <v>224</v>
      </c>
      <c r="E593" s="39" t="s">
        <v>463</v>
      </c>
      <c r="F593" s="111">
        <v>610</v>
      </c>
      <c r="G593" s="18">
        <v>1300.3</v>
      </c>
      <c r="H593" s="18">
        <v>0</v>
      </c>
      <c r="I593" s="18">
        <v>0</v>
      </c>
    </row>
    <row r="594" spans="1:9" x14ac:dyDescent="0.25">
      <c r="A594" s="48">
        <v>577</v>
      </c>
      <c r="B594" s="81" t="s">
        <v>85</v>
      </c>
      <c r="C594" s="39">
        <v>952</v>
      </c>
      <c r="D594" s="39" t="s">
        <v>148</v>
      </c>
      <c r="E594" s="111"/>
      <c r="F594" s="111"/>
      <c r="G594" s="18">
        <f>G595</f>
        <v>5365.2699999999995</v>
      </c>
      <c r="H594" s="18">
        <f t="shared" ref="H594:I597" si="255">H595</f>
        <v>5851.8</v>
      </c>
      <c r="I594" s="18">
        <f t="shared" si="255"/>
        <v>5851.8</v>
      </c>
    </row>
    <row r="595" spans="1:9" x14ac:dyDescent="0.25">
      <c r="A595" s="22">
        <v>578</v>
      </c>
      <c r="B595" s="112" t="s">
        <v>86</v>
      </c>
      <c r="C595" s="23">
        <v>952</v>
      </c>
      <c r="D595" s="23" t="s">
        <v>148</v>
      </c>
      <c r="E595" s="39" t="s">
        <v>269</v>
      </c>
      <c r="F595" s="111"/>
      <c r="G595" s="18">
        <f>G596+G615+G625</f>
        <v>5365.2699999999995</v>
      </c>
      <c r="H595" s="18">
        <f>H596+H619+H625</f>
        <v>5851.8</v>
      </c>
      <c r="I595" s="18">
        <f>I596+I619+I625</f>
        <v>5851.8</v>
      </c>
    </row>
    <row r="596" spans="1:9" x14ac:dyDescent="0.25">
      <c r="A596" s="48">
        <v>579</v>
      </c>
      <c r="B596" s="112" t="s">
        <v>404</v>
      </c>
      <c r="C596" s="23">
        <v>952</v>
      </c>
      <c r="D596" s="23" t="s">
        <v>148</v>
      </c>
      <c r="E596" s="39" t="s">
        <v>320</v>
      </c>
      <c r="F596" s="111"/>
      <c r="G596" s="18">
        <f>G597+G606+G609+G612+G600+G603</f>
        <v>5223.03</v>
      </c>
      <c r="H596" s="18">
        <f t="shared" ref="H596:I596" si="256">H597+H606+H609+H612</f>
        <v>5752.8</v>
      </c>
      <c r="I596" s="18">
        <f t="shared" si="256"/>
        <v>5752.8</v>
      </c>
    </row>
    <row r="597" spans="1:9" x14ac:dyDescent="0.25">
      <c r="A597" s="22">
        <v>580</v>
      </c>
      <c r="B597" s="112" t="s">
        <v>405</v>
      </c>
      <c r="C597" s="23">
        <v>952</v>
      </c>
      <c r="D597" s="23" t="s">
        <v>148</v>
      </c>
      <c r="E597" s="39" t="s">
        <v>406</v>
      </c>
      <c r="F597" s="111"/>
      <c r="G597" s="18">
        <f>G598</f>
        <v>4689.6000000000004</v>
      </c>
      <c r="H597" s="18">
        <f t="shared" si="255"/>
        <v>5082.6000000000004</v>
      </c>
      <c r="I597" s="18">
        <f t="shared" si="255"/>
        <v>5082.6000000000004</v>
      </c>
    </row>
    <row r="598" spans="1:9" ht="30" x14ac:dyDescent="0.25">
      <c r="A598" s="48">
        <v>581</v>
      </c>
      <c r="B598" s="81" t="s">
        <v>58</v>
      </c>
      <c r="C598" s="23">
        <v>952</v>
      </c>
      <c r="D598" s="23" t="s">
        <v>148</v>
      </c>
      <c r="E598" s="39" t="s">
        <v>406</v>
      </c>
      <c r="F598" s="111">
        <v>600</v>
      </c>
      <c r="G598" s="18">
        <f>G599</f>
        <v>4689.6000000000004</v>
      </c>
      <c r="H598" s="18">
        <f t="shared" ref="H598:I598" si="257">H599</f>
        <v>5082.6000000000004</v>
      </c>
      <c r="I598" s="18">
        <f t="shared" si="257"/>
        <v>5082.6000000000004</v>
      </c>
    </row>
    <row r="599" spans="1:9" x14ac:dyDescent="0.25">
      <c r="A599" s="22">
        <v>582</v>
      </c>
      <c r="B599" s="81" t="s">
        <v>78</v>
      </c>
      <c r="C599" s="23">
        <v>952</v>
      </c>
      <c r="D599" s="23" t="s">
        <v>148</v>
      </c>
      <c r="E599" s="39" t="s">
        <v>406</v>
      </c>
      <c r="F599" s="111">
        <v>610</v>
      </c>
      <c r="G599" s="18">
        <f>5082.6-393</f>
        <v>4689.6000000000004</v>
      </c>
      <c r="H599" s="18">
        <v>5082.6000000000004</v>
      </c>
      <c r="I599" s="18">
        <v>5082.6000000000004</v>
      </c>
    </row>
    <row r="600" spans="1:9" ht="30" x14ac:dyDescent="0.25">
      <c r="A600" s="48">
        <v>583</v>
      </c>
      <c r="B600" s="112" t="s">
        <v>443</v>
      </c>
      <c r="C600" s="23" t="s">
        <v>412</v>
      </c>
      <c r="D600" s="23" t="s">
        <v>148</v>
      </c>
      <c r="E600" s="39" t="s">
        <v>465</v>
      </c>
      <c r="F600" s="111"/>
      <c r="G600" s="18">
        <f>G601</f>
        <v>73.5</v>
      </c>
      <c r="H600" s="18">
        <f t="shared" ref="H600:I601" si="258">H601</f>
        <v>0</v>
      </c>
      <c r="I600" s="18">
        <f t="shared" si="258"/>
        <v>0</v>
      </c>
    </row>
    <row r="601" spans="1:9" ht="30" x14ac:dyDescent="0.25">
      <c r="A601" s="22">
        <v>584</v>
      </c>
      <c r="B601" s="81" t="s">
        <v>58</v>
      </c>
      <c r="C601" s="23" t="s">
        <v>412</v>
      </c>
      <c r="D601" s="23" t="s">
        <v>148</v>
      </c>
      <c r="E601" s="39" t="s">
        <v>465</v>
      </c>
      <c r="F601" s="111">
        <v>600</v>
      </c>
      <c r="G601" s="18">
        <f>G602</f>
        <v>73.5</v>
      </c>
      <c r="H601" s="18">
        <f t="shared" si="258"/>
        <v>0</v>
      </c>
      <c r="I601" s="18">
        <f t="shared" si="258"/>
        <v>0</v>
      </c>
    </row>
    <row r="602" spans="1:9" x14ac:dyDescent="0.25">
      <c r="A602" s="48">
        <v>585</v>
      </c>
      <c r="B602" s="81" t="s">
        <v>78</v>
      </c>
      <c r="C602" s="23" t="s">
        <v>412</v>
      </c>
      <c r="D602" s="23" t="s">
        <v>148</v>
      </c>
      <c r="E602" s="39" t="s">
        <v>465</v>
      </c>
      <c r="F602" s="111">
        <v>610</v>
      </c>
      <c r="G602" s="18">
        <v>73.5</v>
      </c>
      <c r="H602" s="18">
        <v>0</v>
      </c>
      <c r="I602" s="18">
        <v>0</v>
      </c>
    </row>
    <row r="603" spans="1:9" ht="60" x14ac:dyDescent="0.25">
      <c r="A603" s="22">
        <v>586</v>
      </c>
      <c r="B603" s="118" t="s">
        <v>556</v>
      </c>
      <c r="C603" s="23" t="s">
        <v>412</v>
      </c>
      <c r="D603" s="23" t="s">
        <v>148</v>
      </c>
      <c r="E603" s="39" t="s">
        <v>545</v>
      </c>
      <c r="F603" s="111"/>
      <c r="G603" s="18">
        <f>G604</f>
        <v>39.69</v>
      </c>
      <c r="H603" s="18">
        <f t="shared" ref="H603:I604" si="259">H604</f>
        <v>0</v>
      </c>
      <c r="I603" s="18">
        <f t="shared" si="259"/>
        <v>0</v>
      </c>
    </row>
    <row r="604" spans="1:9" ht="30" x14ac:dyDescent="0.25">
      <c r="A604" s="48">
        <v>587</v>
      </c>
      <c r="B604" s="81" t="s">
        <v>58</v>
      </c>
      <c r="C604" s="23" t="s">
        <v>412</v>
      </c>
      <c r="D604" s="23" t="s">
        <v>148</v>
      </c>
      <c r="E604" s="39" t="s">
        <v>545</v>
      </c>
      <c r="F604" s="111">
        <v>600</v>
      </c>
      <c r="G604" s="18">
        <f>G605</f>
        <v>39.69</v>
      </c>
      <c r="H604" s="18">
        <f t="shared" si="259"/>
        <v>0</v>
      </c>
      <c r="I604" s="18">
        <f t="shared" si="259"/>
        <v>0</v>
      </c>
    </row>
    <row r="605" spans="1:9" x14ac:dyDescent="0.25">
      <c r="A605" s="22">
        <v>588</v>
      </c>
      <c r="B605" s="81" t="s">
        <v>78</v>
      </c>
      <c r="C605" s="23" t="s">
        <v>412</v>
      </c>
      <c r="D605" s="23" t="s">
        <v>148</v>
      </c>
      <c r="E605" s="39" t="s">
        <v>545</v>
      </c>
      <c r="F605" s="111">
        <v>610</v>
      </c>
      <c r="G605" s="18">
        <v>39.69</v>
      </c>
      <c r="H605" s="18">
        <v>0</v>
      </c>
      <c r="I605" s="18">
        <v>0</v>
      </c>
    </row>
    <row r="606" spans="1:9" ht="30" x14ac:dyDescent="0.25">
      <c r="A606" s="48">
        <v>589</v>
      </c>
      <c r="B606" s="113" t="s">
        <v>407</v>
      </c>
      <c r="C606" s="23">
        <v>952</v>
      </c>
      <c r="D606" s="23" t="s">
        <v>148</v>
      </c>
      <c r="E606" s="39" t="s">
        <v>408</v>
      </c>
      <c r="F606" s="111"/>
      <c r="G606" s="18">
        <f>G607</f>
        <v>350.2</v>
      </c>
      <c r="H606" s="18">
        <f t="shared" ref="H606:I606" si="260">H607</f>
        <v>350.2</v>
      </c>
      <c r="I606" s="18">
        <f t="shared" si="260"/>
        <v>350.2</v>
      </c>
    </row>
    <row r="607" spans="1:9" ht="30" x14ac:dyDescent="0.25">
      <c r="A607" s="22">
        <v>590</v>
      </c>
      <c r="B607" s="81" t="s">
        <v>58</v>
      </c>
      <c r="C607" s="23">
        <v>952</v>
      </c>
      <c r="D607" s="23" t="s">
        <v>148</v>
      </c>
      <c r="E607" s="39" t="s">
        <v>408</v>
      </c>
      <c r="F607" s="111">
        <v>600</v>
      </c>
      <c r="G607" s="18">
        <f>G608</f>
        <v>350.2</v>
      </c>
      <c r="H607" s="18">
        <f t="shared" ref="H607:I607" si="261">H608</f>
        <v>350.2</v>
      </c>
      <c r="I607" s="18">
        <f t="shared" si="261"/>
        <v>350.2</v>
      </c>
    </row>
    <row r="608" spans="1:9" x14ac:dyDescent="0.25">
      <c r="A608" s="48">
        <v>591</v>
      </c>
      <c r="B608" s="81" t="s">
        <v>78</v>
      </c>
      <c r="C608" s="23">
        <v>952</v>
      </c>
      <c r="D608" s="23" t="s">
        <v>148</v>
      </c>
      <c r="E608" s="39" t="s">
        <v>408</v>
      </c>
      <c r="F608" s="111">
        <v>610</v>
      </c>
      <c r="G608" s="18">
        <v>350.2</v>
      </c>
      <c r="H608" s="18">
        <v>350.2</v>
      </c>
      <c r="I608" s="18">
        <v>350.2</v>
      </c>
    </row>
    <row r="609" spans="1:9" x14ac:dyDescent="0.25">
      <c r="A609" s="22">
        <v>592</v>
      </c>
      <c r="B609" s="113" t="s">
        <v>427</v>
      </c>
      <c r="C609" s="23">
        <v>952</v>
      </c>
      <c r="D609" s="23" t="s">
        <v>148</v>
      </c>
      <c r="E609" s="39" t="s">
        <v>409</v>
      </c>
      <c r="F609" s="111"/>
      <c r="G609" s="18">
        <f>G610</f>
        <v>70.040000000000006</v>
      </c>
      <c r="H609" s="18">
        <f t="shared" ref="H609:I609" si="262">H610</f>
        <v>70</v>
      </c>
      <c r="I609" s="18">
        <f t="shared" si="262"/>
        <v>70</v>
      </c>
    </row>
    <row r="610" spans="1:9" ht="30" x14ac:dyDescent="0.25">
      <c r="A610" s="48">
        <v>593</v>
      </c>
      <c r="B610" s="81" t="s">
        <v>58</v>
      </c>
      <c r="C610" s="23">
        <v>952</v>
      </c>
      <c r="D610" s="23" t="s">
        <v>148</v>
      </c>
      <c r="E610" s="39" t="s">
        <v>409</v>
      </c>
      <c r="F610" s="111">
        <v>600</v>
      </c>
      <c r="G610" s="18">
        <f>G611</f>
        <v>70.040000000000006</v>
      </c>
      <c r="H610" s="18">
        <f t="shared" ref="H610:I610" si="263">H611</f>
        <v>70</v>
      </c>
      <c r="I610" s="18">
        <f t="shared" si="263"/>
        <v>70</v>
      </c>
    </row>
    <row r="611" spans="1:9" x14ac:dyDescent="0.25">
      <c r="A611" s="22">
        <v>594</v>
      </c>
      <c r="B611" s="81" t="s">
        <v>78</v>
      </c>
      <c r="C611" s="23">
        <v>952</v>
      </c>
      <c r="D611" s="23" t="s">
        <v>148</v>
      </c>
      <c r="E611" s="39" t="s">
        <v>409</v>
      </c>
      <c r="F611" s="111">
        <v>610</v>
      </c>
      <c r="G611" s="18">
        <f>70+0.04</f>
        <v>70.040000000000006</v>
      </c>
      <c r="H611" s="18">
        <v>70</v>
      </c>
      <c r="I611" s="18">
        <v>70</v>
      </c>
    </row>
    <row r="612" spans="1:9" x14ac:dyDescent="0.25">
      <c r="A612" s="48">
        <v>595</v>
      </c>
      <c r="B612" s="80" t="s">
        <v>410</v>
      </c>
      <c r="C612" s="23">
        <v>952</v>
      </c>
      <c r="D612" s="23" t="s">
        <v>148</v>
      </c>
      <c r="E612" s="39" t="s">
        <v>411</v>
      </c>
      <c r="F612" s="111"/>
      <c r="G612" s="18">
        <f>G613</f>
        <v>0</v>
      </c>
      <c r="H612" s="18">
        <f t="shared" ref="H612:I613" si="264">H613</f>
        <v>250</v>
      </c>
      <c r="I612" s="18">
        <f t="shared" si="264"/>
        <v>250</v>
      </c>
    </row>
    <row r="613" spans="1:9" ht="30" x14ac:dyDescent="0.25">
      <c r="A613" s="22">
        <v>596</v>
      </c>
      <c r="B613" s="81" t="s">
        <v>58</v>
      </c>
      <c r="C613" s="23">
        <v>952</v>
      </c>
      <c r="D613" s="23" t="s">
        <v>148</v>
      </c>
      <c r="E613" s="39" t="s">
        <v>411</v>
      </c>
      <c r="F613" s="111">
        <v>600</v>
      </c>
      <c r="G613" s="18">
        <f>G614</f>
        <v>0</v>
      </c>
      <c r="H613" s="18">
        <f t="shared" si="264"/>
        <v>250</v>
      </c>
      <c r="I613" s="18">
        <f t="shared" si="264"/>
        <v>250</v>
      </c>
    </row>
    <row r="614" spans="1:9" x14ac:dyDescent="0.25">
      <c r="A614" s="48">
        <v>597</v>
      </c>
      <c r="B614" s="81" t="s">
        <v>78</v>
      </c>
      <c r="C614" s="23">
        <v>952</v>
      </c>
      <c r="D614" s="23" t="s">
        <v>148</v>
      </c>
      <c r="E614" s="39" t="s">
        <v>411</v>
      </c>
      <c r="F614" s="111">
        <v>610</v>
      </c>
      <c r="G614" s="18">
        <f>250-0.04-249.96</f>
        <v>0</v>
      </c>
      <c r="H614" s="18">
        <v>250</v>
      </c>
      <c r="I614" s="18">
        <v>250</v>
      </c>
    </row>
    <row r="615" spans="1:9" x14ac:dyDescent="0.25">
      <c r="A615" s="22">
        <v>598</v>
      </c>
      <c r="B615" s="80" t="s">
        <v>423</v>
      </c>
      <c r="C615" s="23" t="s">
        <v>412</v>
      </c>
      <c r="D615" s="23" t="s">
        <v>148</v>
      </c>
      <c r="E615" s="39" t="s">
        <v>270</v>
      </c>
      <c r="F615" s="111"/>
      <c r="G615" s="18">
        <f>G619+G622+G616</f>
        <v>112.24000000000001</v>
      </c>
      <c r="H615" s="18">
        <f t="shared" ref="H615:I615" si="265">H619+H622+H616</f>
        <v>69</v>
      </c>
      <c r="I615" s="18">
        <f t="shared" si="265"/>
        <v>69</v>
      </c>
    </row>
    <row r="616" spans="1:9" ht="30" x14ac:dyDescent="0.25">
      <c r="A616" s="48">
        <v>599</v>
      </c>
      <c r="B616" s="80" t="s">
        <v>546</v>
      </c>
      <c r="C616" s="23" t="s">
        <v>412</v>
      </c>
      <c r="D616" s="23" t="s">
        <v>148</v>
      </c>
      <c r="E616" s="39" t="s">
        <v>547</v>
      </c>
      <c r="F616" s="111"/>
      <c r="G616" s="18">
        <f>G617</f>
        <v>43.24</v>
      </c>
      <c r="H616" s="18"/>
      <c r="I616" s="18"/>
    </row>
    <row r="617" spans="1:9" ht="30" x14ac:dyDescent="0.25">
      <c r="A617" s="22">
        <v>600</v>
      </c>
      <c r="B617" s="81" t="s">
        <v>58</v>
      </c>
      <c r="C617" s="23" t="s">
        <v>412</v>
      </c>
      <c r="D617" s="23" t="s">
        <v>148</v>
      </c>
      <c r="E617" s="39" t="s">
        <v>547</v>
      </c>
      <c r="F617" s="111">
        <v>600</v>
      </c>
      <c r="G617" s="18">
        <f>G618</f>
        <v>43.24</v>
      </c>
      <c r="H617" s="18"/>
      <c r="I617" s="18"/>
    </row>
    <row r="618" spans="1:9" x14ac:dyDescent="0.25">
      <c r="A618" s="48">
        <v>601</v>
      </c>
      <c r="B618" s="81" t="s">
        <v>78</v>
      </c>
      <c r="C618" s="23" t="s">
        <v>412</v>
      </c>
      <c r="D618" s="23" t="s">
        <v>148</v>
      </c>
      <c r="E618" s="39" t="s">
        <v>547</v>
      </c>
      <c r="F618" s="111">
        <v>610</v>
      </c>
      <c r="G618" s="18">
        <v>43.24</v>
      </c>
      <c r="H618" s="18">
        <v>0</v>
      </c>
      <c r="I618" s="18">
        <v>0</v>
      </c>
    </row>
    <row r="619" spans="1:9" ht="30" x14ac:dyDescent="0.25">
      <c r="A619" s="22">
        <v>602</v>
      </c>
      <c r="B619" s="80" t="s">
        <v>413</v>
      </c>
      <c r="C619" s="23" t="s">
        <v>412</v>
      </c>
      <c r="D619" s="23" t="s">
        <v>148</v>
      </c>
      <c r="E619" s="39" t="s">
        <v>414</v>
      </c>
      <c r="F619" s="111"/>
      <c r="G619" s="18">
        <f>G620</f>
        <v>67.239999999999995</v>
      </c>
      <c r="H619" s="18">
        <f t="shared" ref="H619:I619" si="266">H620</f>
        <v>69</v>
      </c>
      <c r="I619" s="18">
        <f t="shared" si="266"/>
        <v>69</v>
      </c>
    </row>
    <row r="620" spans="1:9" ht="30" x14ac:dyDescent="0.25">
      <c r="A620" s="48">
        <v>603</v>
      </c>
      <c r="B620" s="81" t="s">
        <v>58</v>
      </c>
      <c r="C620" s="23" t="s">
        <v>412</v>
      </c>
      <c r="D620" s="23" t="s">
        <v>148</v>
      </c>
      <c r="E620" s="39" t="s">
        <v>414</v>
      </c>
      <c r="F620" s="111">
        <v>600</v>
      </c>
      <c r="G620" s="18">
        <f>G621</f>
        <v>67.239999999999995</v>
      </c>
      <c r="H620" s="18">
        <f>H621</f>
        <v>69</v>
      </c>
      <c r="I620" s="18">
        <f>I621</f>
        <v>69</v>
      </c>
    </row>
    <row r="621" spans="1:9" x14ac:dyDescent="0.25">
      <c r="A621" s="22">
        <v>604</v>
      </c>
      <c r="B621" s="81" t="s">
        <v>78</v>
      </c>
      <c r="C621" s="23" t="s">
        <v>412</v>
      </c>
      <c r="D621" s="23" t="s">
        <v>148</v>
      </c>
      <c r="E621" s="39" t="s">
        <v>414</v>
      </c>
      <c r="F621" s="111">
        <v>610</v>
      </c>
      <c r="G621" s="18">
        <f>69-1.76</f>
        <v>67.239999999999995</v>
      </c>
      <c r="H621" s="18">
        <v>69</v>
      </c>
      <c r="I621" s="18">
        <v>69</v>
      </c>
    </row>
    <row r="622" spans="1:9" ht="30" x14ac:dyDescent="0.25">
      <c r="A622" s="48">
        <v>605</v>
      </c>
      <c r="B622" s="80" t="s">
        <v>513</v>
      </c>
      <c r="C622" s="23" t="s">
        <v>412</v>
      </c>
      <c r="D622" s="23" t="s">
        <v>148</v>
      </c>
      <c r="E622" s="39" t="s">
        <v>514</v>
      </c>
      <c r="F622" s="111"/>
      <c r="G622" s="18">
        <f>G623</f>
        <v>1.76</v>
      </c>
      <c r="H622" s="18"/>
      <c r="I622" s="18"/>
    </row>
    <row r="623" spans="1:9" ht="30" x14ac:dyDescent="0.25">
      <c r="A623" s="22">
        <v>606</v>
      </c>
      <c r="B623" s="81" t="s">
        <v>58</v>
      </c>
      <c r="C623" s="23" t="s">
        <v>412</v>
      </c>
      <c r="D623" s="23" t="s">
        <v>148</v>
      </c>
      <c r="E623" s="39" t="s">
        <v>514</v>
      </c>
      <c r="F623" s="111">
        <v>600</v>
      </c>
      <c r="G623" s="18">
        <f>G624</f>
        <v>1.76</v>
      </c>
      <c r="H623" s="18"/>
      <c r="I623" s="18"/>
    </row>
    <row r="624" spans="1:9" x14ac:dyDescent="0.25">
      <c r="A624" s="48">
        <v>607</v>
      </c>
      <c r="B624" s="81" t="s">
        <v>78</v>
      </c>
      <c r="C624" s="23" t="s">
        <v>412</v>
      </c>
      <c r="D624" s="23" t="s">
        <v>148</v>
      </c>
      <c r="E624" s="39" t="s">
        <v>514</v>
      </c>
      <c r="F624" s="111">
        <v>610</v>
      </c>
      <c r="G624" s="18">
        <v>1.76</v>
      </c>
      <c r="H624" s="18">
        <v>0</v>
      </c>
      <c r="I624" s="18">
        <v>0</v>
      </c>
    </row>
    <row r="625" spans="1:9" ht="30" x14ac:dyDescent="0.25">
      <c r="A625" s="22">
        <v>608</v>
      </c>
      <c r="B625" s="80" t="s">
        <v>436</v>
      </c>
      <c r="C625" s="23" t="s">
        <v>412</v>
      </c>
      <c r="D625" s="23" t="s">
        <v>148</v>
      </c>
      <c r="E625" s="39" t="s">
        <v>321</v>
      </c>
      <c r="F625" s="111"/>
      <c r="G625" s="18">
        <f>G626</f>
        <v>30</v>
      </c>
      <c r="H625" s="18">
        <f t="shared" ref="H625:I627" si="267">H626</f>
        <v>30</v>
      </c>
      <c r="I625" s="18">
        <f t="shared" si="267"/>
        <v>30</v>
      </c>
    </row>
    <row r="626" spans="1:9" ht="45" x14ac:dyDescent="0.25">
      <c r="A626" s="48">
        <v>609</v>
      </c>
      <c r="B626" s="80" t="s">
        <v>415</v>
      </c>
      <c r="C626" s="23" t="s">
        <v>412</v>
      </c>
      <c r="D626" s="23" t="s">
        <v>148</v>
      </c>
      <c r="E626" s="39" t="s">
        <v>416</v>
      </c>
      <c r="F626" s="111"/>
      <c r="G626" s="18">
        <f>G627</f>
        <v>30</v>
      </c>
      <c r="H626" s="18">
        <f t="shared" si="267"/>
        <v>30</v>
      </c>
      <c r="I626" s="18">
        <f t="shared" si="267"/>
        <v>30</v>
      </c>
    </row>
    <row r="627" spans="1:9" ht="30" x14ac:dyDescent="0.25">
      <c r="A627" s="22">
        <v>610</v>
      </c>
      <c r="B627" s="81" t="s">
        <v>58</v>
      </c>
      <c r="C627" s="23" t="s">
        <v>412</v>
      </c>
      <c r="D627" s="23" t="s">
        <v>148</v>
      </c>
      <c r="E627" s="39" t="s">
        <v>416</v>
      </c>
      <c r="F627" s="111">
        <v>600</v>
      </c>
      <c r="G627" s="18">
        <f>G628</f>
        <v>30</v>
      </c>
      <c r="H627" s="18">
        <f t="shared" si="267"/>
        <v>30</v>
      </c>
      <c r="I627" s="18">
        <f t="shared" si="267"/>
        <v>30</v>
      </c>
    </row>
    <row r="628" spans="1:9" x14ac:dyDescent="0.25">
      <c r="A628" s="48">
        <v>611</v>
      </c>
      <c r="B628" s="81" t="s">
        <v>78</v>
      </c>
      <c r="C628" s="23" t="s">
        <v>412</v>
      </c>
      <c r="D628" s="23" t="s">
        <v>148</v>
      </c>
      <c r="E628" s="39" t="s">
        <v>416</v>
      </c>
      <c r="F628" s="111">
        <v>610</v>
      </c>
      <c r="G628" s="18">
        <v>30</v>
      </c>
      <c r="H628" s="18">
        <v>30</v>
      </c>
      <c r="I628" s="18">
        <v>30</v>
      </c>
    </row>
    <row r="629" spans="1:9" x14ac:dyDescent="0.25">
      <c r="A629" s="22">
        <v>612</v>
      </c>
      <c r="B629" s="57" t="s">
        <v>150</v>
      </c>
      <c r="C629" s="39">
        <v>952</v>
      </c>
      <c r="D629" s="39" t="s">
        <v>151</v>
      </c>
      <c r="E629" s="111"/>
      <c r="F629" s="111"/>
      <c r="G629" s="18">
        <f>G630+G677</f>
        <v>81584.539999999994</v>
      </c>
      <c r="H629" s="18">
        <f>H630+H677</f>
        <v>57710.380000000005</v>
      </c>
      <c r="I629" s="18">
        <f>I630+I677</f>
        <v>57710.380000000005</v>
      </c>
    </row>
    <row r="630" spans="1:9" x14ac:dyDescent="0.25">
      <c r="A630" s="48">
        <v>613</v>
      </c>
      <c r="B630" s="19" t="s">
        <v>79</v>
      </c>
      <c r="C630" s="39">
        <v>952</v>
      </c>
      <c r="D630" s="39" t="s">
        <v>152</v>
      </c>
      <c r="E630" s="111"/>
      <c r="F630" s="111"/>
      <c r="G630" s="18">
        <f>G631</f>
        <v>78195.95</v>
      </c>
      <c r="H630" s="18">
        <f t="shared" ref="H630:I630" si="268">H631</f>
        <v>54001.680000000008</v>
      </c>
      <c r="I630" s="18">
        <f t="shared" si="268"/>
        <v>54001.680000000008</v>
      </c>
    </row>
    <row r="631" spans="1:9" x14ac:dyDescent="0.25">
      <c r="A631" s="22">
        <v>614</v>
      </c>
      <c r="B631" s="112" t="s">
        <v>434</v>
      </c>
      <c r="C631" s="39">
        <v>952</v>
      </c>
      <c r="D631" s="39" t="s">
        <v>152</v>
      </c>
      <c r="E631" s="39" t="s">
        <v>248</v>
      </c>
      <c r="F631" s="111"/>
      <c r="G631" s="18">
        <f>G632+G642+G661</f>
        <v>78195.95</v>
      </c>
      <c r="H631" s="18">
        <f>H632+H642+H661</f>
        <v>54001.680000000008</v>
      </c>
      <c r="I631" s="18">
        <f>I632+I642+I661</f>
        <v>54001.680000000008</v>
      </c>
    </row>
    <row r="632" spans="1:9" x14ac:dyDescent="0.25">
      <c r="A632" s="48">
        <v>615</v>
      </c>
      <c r="B632" s="112" t="s">
        <v>80</v>
      </c>
      <c r="C632" s="39">
        <v>952</v>
      </c>
      <c r="D632" s="39" t="s">
        <v>152</v>
      </c>
      <c r="E632" s="39" t="s">
        <v>271</v>
      </c>
      <c r="F632" s="111"/>
      <c r="G632" s="18">
        <f>G633+G636+G639</f>
        <v>20450.93</v>
      </c>
      <c r="H632" s="18">
        <f t="shared" ref="H632:I632" si="269">H633+H636</f>
        <v>16058.22</v>
      </c>
      <c r="I632" s="18">
        <f t="shared" si="269"/>
        <v>16058.22</v>
      </c>
    </row>
    <row r="633" spans="1:9" ht="30" x14ac:dyDescent="0.25">
      <c r="A633" s="22">
        <v>616</v>
      </c>
      <c r="B633" s="116" t="s">
        <v>81</v>
      </c>
      <c r="C633" s="39">
        <v>952</v>
      </c>
      <c r="D633" s="39" t="s">
        <v>152</v>
      </c>
      <c r="E633" s="39" t="s">
        <v>272</v>
      </c>
      <c r="F633" s="111"/>
      <c r="G633" s="18">
        <f>G634</f>
        <v>13321.779999999999</v>
      </c>
      <c r="H633" s="18">
        <f t="shared" ref="H633:I634" si="270">H634</f>
        <v>13478.31</v>
      </c>
      <c r="I633" s="18">
        <f t="shared" si="270"/>
        <v>13478.31</v>
      </c>
    </row>
    <row r="634" spans="1:9" ht="30" x14ac:dyDescent="0.25">
      <c r="A634" s="48">
        <v>617</v>
      </c>
      <c r="B634" s="81" t="s">
        <v>58</v>
      </c>
      <c r="C634" s="39">
        <v>952</v>
      </c>
      <c r="D634" s="39" t="s">
        <v>152</v>
      </c>
      <c r="E634" s="39" t="s">
        <v>272</v>
      </c>
      <c r="F634" s="111">
        <v>600</v>
      </c>
      <c r="G634" s="18">
        <f>G635</f>
        <v>13321.779999999999</v>
      </c>
      <c r="H634" s="18">
        <f t="shared" si="270"/>
        <v>13478.31</v>
      </c>
      <c r="I634" s="18">
        <f t="shared" si="270"/>
        <v>13478.31</v>
      </c>
    </row>
    <row r="635" spans="1:9" x14ac:dyDescent="0.25">
      <c r="A635" s="22">
        <v>618</v>
      </c>
      <c r="B635" s="81" t="s">
        <v>78</v>
      </c>
      <c r="C635" s="39">
        <v>952</v>
      </c>
      <c r="D635" s="39" t="s">
        <v>152</v>
      </c>
      <c r="E635" s="39" t="s">
        <v>272</v>
      </c>
      <c r="F635" s="111">
        <v>610</v>
      </c>
      <c r="G635" s="18">
        <f>13478.31+43.47-130-70</f>
        <v>13321.779999999999</v>
      </c>
      <c r="H635" s="18">
        <v>13478.31</v>
      </c>
      <c r="I635" s="18">
        <v>13478.31</v>
      </c>
    </row>
    <row r="636" spans="1:9" ht="30" x14ac:dyDescent="0.25">
      <c r="A636" s="48">
        <v>619</v>
      </c>
      <c r="B636" s="116" t="s">
        <v>84</v>
      </c>
      <c r="C636" s="39">
        <v>952</v>
      </c>
      <c r="D636" s="39" t="s">
        <v>152</v>
      </c>
      <c r="E636" s="39" t="s">
        <v>273</v>
      </c>
      <c r="F636" s="111"/>
      <c r="G636" s="18">
        <f>G637</f>
        <v>2797.3799999999997</v>
      </c>
      <c r="H636" s="18">
        <f t="shared" ref="H636:I637" si="271">H637</f>
        <v>2579.91</v>
      </c>
      <c r="I636" s="18">
        <f t="shared" si="271"/>
        <v>2579.91</v>
      </c>
    </row>
    <row r="637" spans="1:9" ht="30" x14ac:dyDescent="0.25">
      <c r="A637" s="22">
        <v>620</v>
      </c>
      <c r="B637" s="81" t="s">
        <v>58</v>
      </c>
      <c r="C637" s="39">
        <v>952</v>
      </c>
      <c r="D637" s="39" t="s">
        <v>152</v>
      </c>
      <c r="E637" s="39" t="s">
        <v>273</v>
      </c>
      <c r="F637" s="111">
        <v>600</v>
      </c>
      <c r="G637" s="18">
        <f>G638</f>
        <v>2797.3799999999997</v>
      </c>
      <c r="H637" s="18">
        <f t="shared" si="271"/>
        <v>2579.91</v>
      </c>
      <c r="I637" s="18">
        <f t="shared" si="271"/>
        <v>2579.91</v>
      </c>
    </row>
    <row r="638" spans="1:9" x14ac:dyDescent="0.25">
      <c r="A638" s="48">
        <v>621</v>
      </c>
      <c r="B638" s="81" t="s">
        <v>78</v>
      </c>
      <c r="C638" s="39">
        <v>952</v>
      </c>
      <c r="D638" s="39" t="s">
        <v>152</v>
      </c>
      <c r="E638" s="39" t="s">
        <v>273</v>
      </c>
      <c r="F638" s="111">
        <v>610</v>
      </c>
      <c r="G638" s="18">
        <f>2579.91+217.47</f>
        <v>2797.3799999999997</v>
      </c>
      <c r="H638" s="18">
        <v>2579.91</v>
      </c>
      <c r="I638" s="18">
        <v>2579.91</v>
      </c>
    </row>
    <row r="639" spans="1:9" ht="60" x14ac:dyDescent="0.25">
      <c r="A639" s="22">
        <v>622</v>
      </c>
      <c r="B639" s="118" t="s">
        <v>466</v>
      </c>
      <c r="C639" s="39" t="s">
        <v>412</v>
      </c>
      <c r="D639" s="39" t="s">
        <v>152</v>
      </c>
      <c r="E639" s="39" t="s">
        <v>467</v>
      </c>
      <c r="F639" s="111"/>
      <c r="G639" s="18">
        <f>G640</f>
        <v>4331.7700000000004</v>
      </c>
      <c r="H639" s="18">
        <f t="shared" ref="H639:I640" si="272">H640</f>
        <v>0</v>
      </c>
      <c r="I639" s="18">
        <f t="shared" si="272"/>
        <v>0</v>
      </c>
    </row>
    <row r="640" spans="1:9" ht="30" x14ac:dyDescent="0.25">
      <c r="A640" s="48">
        <v>623</v>
      </c>
      <c r="B640" s="81" t="s">
        <v>58</v>
      </c>
      <c r="C640" s="39" t="s">
        <v>412</v>
      </c>
      <c r="D640" s="39" t="s">
        <v>152</v>
      </c>
      <c r="E640" s="39" t="s">
        <v>467</v>
      </c>
      <c r="F640" s="111">
        <v>600</v>
      </c>
      <c r="G640" s="18">
        <f>G641</f>
        <v>4331.7700000000004</v>
      </c>
      <c r="H640" s="18">
        <f t="shared" si="272"/>
        <v>0</v>
      </c>
      <c r="I640" s="18">
        <f t="shared" si="272"/>
        <v>0</v>
      </c>
    </row>
    <row r="641" spans="1:9" x14ac:dyDescent="0.25">
      <c r="A641" s="22">
        <v>624</v>
      </c>
      <c r="B641" s="81" t="s">
        <v>78</v>
      </c>
      <c r="C641" s="39" t="s">
        <v>412</v>
      </c>
      <c r="D641" s="39" t="s">
        <v>152</v>
      </c>
      <c r="E641" s="39" t="s">
        <v>467</v>
      </c>
      <c r="F641" s="111">
        <v>610</v>
      </c>
      <c r="G641" s="18">
        <f>1939.23+2392.54</f>
        <v>4331.7700000000004</v>
      </c>
      <c r="H641" s="18">
        <v>0</v>
      </c>
      <c r="I641" s="18">
        <v>0</v>
      </c>
    </row>
    <row r="642" spans="1:9" x14ac:dyDescent="0.25">
      <c r="A642" s="48">
        <v>625</v>
      </c>
      <c r="B642" s="33" t="s">
        <v>82</v>
      </c>
      <c r="C642" s="39">
        <v>952</v>
      </c>
      <c r="D642" s="39" t="s">
        <v>152</v>
      </c>
      <c r="E642" s="39" t="s">
        <v>274</v>
      </c>
      <c r="F642" s="111"/>
      <c r="G642" s="18">
        <f>G643+G646+G649+G652+G655+G658</f>
        <v>56901.320000000007</v>
      </c>
      <c r="H642" s="18">
        <f t="shared" ref="H642:I642" si="273">H643+H646+H649+H652+H655+H658</f>
        <v>37943.460000000006</v>
      </c>
      <c r="I642" s="18">
        <f t="shared" si="273"/>
        <v>37943.460000000006</v>
      </c>
    </row>
    <row r="643" spans="1:9" ht="30" x14ac:dyDescent="0.25">
      <c r="A643" s="22">
        <v>626</v>
      </c>
      <c r="B643" s="116" t="s">
        <v>83</v>
      </c>
      <c r="C643" s="39">
        <v>952</v>
      </c>
      <c r="D643" s="39" t="s">
        <v>152</v>
      </c>
      <c r="E643" s="39" t="s">
        <v>275</v>
      </c>
      <c r="F643" s="111"/>
      <c r="G643" s="18">
        <f>G644</f>
        <v>10022.030000000001</v>
      </c>
      <c r="H643" s="18">
        <f t="shared" ref="H643:I644" si="274">H644</f>
        <v>10022.030000000001</v>
      </c>
      <c r="I643" s="18">
        <f t="shared" si="274"/>
        <v>10022.030000000001</v>
      </c>
    </row>
    <row r="644" spans="1:9" ht="30" x14ac:dyDescent="0.25">
      <c r="A644" s="48">
        <v>627</v>
      </c>
      <c r="B644" s="81" t="s">
        <v>58</v>
      </c>
      <c r="C644" s="39">
        <v>952</v>
      </c>
      <c r="D644" s="39" t="s">
        <v>152</v>
      </c>
      <c r="E644" s="39" t="s">
        <v>275</v>
      </c>
      <c r="F644" s="111">
        <v>600</v>
      </c>
      <c r="G644" s="18">
        <f>G645</f>
        <v>10022.030000000001</v>
      </c>
      <c r="H644" s="18">
        <f t="shared" si="274"/>
        <v>10022.030000000001</v>
      </c>
      <c r="I644" s="18">
        <f t="shared" si="274"/>
        <v>10022.030000000001</v>
      </c>
    </row>
    <row r="645" spans="1:9" x14ac:dyDescent="0.25">
      <c r="A645" s="22">
        <v>628</v>
      </c>
      <c r="B645" s="81" t="s">
        <v>78</v>
      </c>
      <c r="C645" s="39">
        <v>952</v>
      </c>
      <c r="D645" s="39" t="s">
        <v>152</v>
      </c>
      <c r="E645" s="39" t="s">
        <v>275</v>
      </c>
      <c r="F645" s="111">
        <v>610</v>
      </c>
      <c r="G645" s="18">
        <v>10022.030000000001</v>
      </c>
      <c r="H645" s="18">
        <v>10022.030000000001</v>
      </c>
      <c r="I645" s="18">
        <v>10022.030000000001</v>
      </c>
    </row>
    <row r="646" spans="1:9" ht="30" x14ac:dyDescent="0.25">
      <c r="A646" s="48">
        <v>629</v>
      </c>
      <c r="B646" s="116" t="s">
        <v>87</v>
      </c>
      <c r="C646" s="39">
        <v>952</v>
      </c>
      <c r="D646" s="39" t="s">
        <v>152</v>
      </c>
      <c r="E646" s="39" t="s">
        <v>276</v>
      </c>
      <c r="F646" s="111"/>
      <c r="G646" s="18">
        <f>G647</f>
        <v>13770.76</v>
      </c>
      <c r="H646" s="18">
        <f t="shared" ref="H646:I647" si="275">H647</f>
        <v>13918.23</v>
      </c>
      <c r="I646" s="18">
        <f t="shared" si="275"/>
        <v>13918.23</v>
      </c>
    </row>
    <row r="647" spans="1:9" ht="30" x14ac:dyDescent="0.25">
      <c r="A647" s="22">
        <v>630</v>
      </c>
      <c r="B647" s="81" t="s">
        <v>58</v>
      </c>
      <c r="C647" s="39">
        <v>952</v>
      </c>
      <c r="D647" s="39" t="s">
        <v>152</v>
      </c>
      <c r="E647" s="39" t="s">
        <v>276</v>
      </c>
      <c r="F647" s="111">
        <v>600</v>
      </c>
      <c r="G647" s="18">
        <f>G648</f>
        <v>13770.76</v>
      </c>
      <c r="H647" s="18">
        <f t="shared" si="275"/>
        <v>13918.23</v>
      </c>
      <c r="I647" s="18">
        <f t="shared" si="275"/>
        <v>13918.23</v>
      </c>
    </row>
    <row r="648" spans="1:9" x14ac:dyDescent="0.25">
      <c r="A648" s="48">
        <v>631</v>
      </c>
      <c r="B648" s="81" t="s">
        <v>78</v>
      </c>
      <c r="C648" s="39">
        <v>952</v>
      </c>
      <c r="D648" s="39" t="s">
        <v>152</v>
      </c>
      <c r="E648" s="39" t="s">
        <v>276</v>
      </c>
      <c r="F648" s="111">
        <v>610</v>
      </c>
      <c r="G648" s="18">
        <f>13918.23-147.47</f>
        <v>13770.76</v>
      </c>
      <c r="H648" s="18">
        <v>13918.23</v>
      </c>
      <c r="I648" s="18">
        <v>13918.23</v>
      </c>
    </row>
    <row r="649" spans="1:9" ht="30" x14ac:dyDescent="0.25">
      <c r="A649" s="22">
        <v>632</v>
      </c>
      <c r="B649" s="116" t="s">
        <v>214</v>
      </c>
      <c r="C649" s="39">
        <v>952</v>
      </c>
      <c r="D649" s="39" t="s">
        <v>152</v>
      </c>
      <c r="E649" s="39" t="s">
        <v>277</v>
      </c>
      <c r="F649" s="111"/>
      <c r="G649" s="18">
        <f>G650</f>
        <v>14003.2</v>
      </c>
      <c r="H649" s="18">
        <f t="shared" ref="H649:I649" si="276">H650</f>
        <v>14003.2</v>
      </c>
      <c r="I649" s="18">
        <f t="shared" si="276"/>
        <v>14003.2</v>
      </c>
    </row>
    <row r="650" spans="1:9" ht="30" x14ac:dyDescent="0.25">
      <c r="A650" s="48">
        <v>633</v>
      </c>
      <c r="B650" s="81" t="s">
        <v>58</v>
      </c>
      <c r="C650" s="39">
        <v>952</v>
      </c>
      <c r="D650" s="39" t="s">
        <v>152</v>
      </c>
      <c r="E650" s="39" t="s">
        <v>277</v>
      </c>
      <c r="F650" s="111">
        <v>600</v>
      </c>
      <c r="G650" s="18">
        <f>G651</f>
        <v>14003.2</v>
      </c>
      <c r="H650" s="18">
        <f>H651</f>
        <v>14003.2</v>
      </c>
      <c r="I650" s="18">
        <f>I651</f>
        <v>14003.2</v>
      </c>
    </row>
    <row r="651" spans="1:9" x14ac:dyDescent="0.25">
      <c r="A651" s="22">
        <v>634</v>
      </c>
      <c r="B651" s="81" t="s">
        <v>78</v>
      </c>
      <c r="C651" s="39">
        <v>952</v>
      </c>
      <c r="D651" s="39" t="s">
        <v>152</v>
      </c>
      <c r="E651" s="39" t="s">
        <v>277</v>
      </c>
      <c r="F651" s="111">
        <v>610</v>
      </c>
      <c r="G651" s="18">
        <f>13908.2+95</f>
        <v>14003.2</v>
      </c>
      <c r="H651" s="18">
        <f>13908.2+95</f>
        <v>14003.2</v>
      </c>
      <c r="I651" s="18">
        <f>13908.2+95</f>
        <v>14003.2</v>
      </c>
    </row>
    <row r="652" spans="1:9" ht="15.75" x14ac:dyDescent="0.25">
      <c r="A652" s="48">
        <v>635</v>
      </c>
      <c r="B652" s="71" t="s">
        <v>330</v>
      </c>
      <c r="C652" s="39">
        <v>952</v>
      </c>
      <c r="D652" s="39" t="s">
        <v>152</v>
      </c>
      <c r="E652" s="39" t="s">
        <v>331</v>
      </c>
      <c r="F652" s="111"/>
      <c r="G652" s="18">
        <f>G653</f>
        <v>0</v>
      </c>
      <c r="H652" s="18">
        <f t="shared" ref="H652:I653" si="277">H653</f>
        <v>0</v>
      </c>
      <c r="I652" s="18">
        <f t="shared" si="277"/>
        <v>0</v>
      </c>
    </row>
    <row r="653" spans="1:9" ht="31.5" x14ac:dyDescent="0.25">
      <c r="A653" s="22">
        <v>636</v>
      </c>
      <c r="B653" s="66" t="s">
        <v>58</v>
      </c>
      <c r="C653" s="39">
        <v>952</v>
      </c>
      <c r="D653" s="39" t="s">
        <v>152</v>
      </c>
      <c r="E653" s="39" t="s">
        <v>331</v>
      </c>
      <c r="F653" s="111">
        <v>600</v>
      </c>
      <c r="G653" s="18">
        <f>G654</f>
        <v>0</v>
      </c>
      <c r="H653" s="18">
        <f t="shared" si="277"/>
        <v>0</v>
      </c>
      <c r="I653" s="18">
        <f t="shared" si="277"/>
        <v>0</v>
      </c>
    </row>
    <row r="654" spans="1:9" ht="15.75" x14ac:dyDescent="0.25">
      <c r="A654" s="48">
        <v>637</v>
      </c>
      <c r="B654" s="66" t="s">
        <v>78</v>
      </c>
      <c r="C654" s="39">
        <v>952</v>
      </c>
      <c r="D654" s="39" t="s">
        <v>152</v>
      </c>
      <c r="E654" s="39" t="s">
        <v>331</v>
      </c>
      <c r="F654" s="111">
        <v>610</v>
      </c>
      <c r="G654" s="18">
        <f>14-14</f>
        <v>0</v>
      </c>
      <c r="H654" s="18">
        <v>0</v>
      </c>
      <c r="I654" s="18">
        <v>0</v>
      </c>
    </row>
    <row r="655" spans="1:9" ht="60" x14ac:dyDescent="0.25">
      <c r="A655" s="22">
        <v>638</v>
      </c>
      <c r="B655" s="118" t="s">
        <v>466</v>
      </c>
      <c r="C655" s="39" t="s">
        <v>412</v>
      </c>
      <c r="D655" s="39" t="s">
        <v>152</v>
      </c>
      <c r="E655" s="39" t="s">
        <v>468</v>
      </c>
      <c r="F655" s="111"/>
      <c r="G655" s="18">
        <f>G656</f>
        <v>8785.64</v>
      </c>
      <c r="H655" s="18">
        <f t="shared" ref="H655:I656" si="278">H656</f>
        <v>0</v>
      </c>
      <c r="I655" s="18">
        <f t="shared" si="278"/>
        <v>0</v>
      </c>
    </row>
    <row r="656" spans="1:9" ht="30" x14ac:dyDescent="0.25">
      <c r="A656" s="48">
        <v>639</v>
      </c>
      <c r="B656" s="81" t="s">
        <v>58</v>
      </c>
      <c r="C656" s="39" t="s">
        <v>412</v>
      </c>
      <c r="D656" s="39" t="s">
        <v>152</v>
      </c>
      <c r="E656" s="39" t="s">
        <v>468</v>
      </c>
      <c r="F656" s="111">
        <v>600</v>
      </c>
      <c r="G656" s="18">
        <f>G657</f>
        <v>8785.64</v>
      </c>
      <c r="H656" s="18">
        <f t="shared" si="278"/>
        <v>0</v>
      </c>
      <c r="I656" s="18">
        <f t="shared" si="278"/>
        <v>0</v>
      </c>
    </row>
    <row r="657" spans="1:9" x14ac:dyDescent="0.25">
      <c r="A657" s="22">
        <v>640</v>
      </c>
      <c r="B657" s="81" t="s">
        <v>78</v>
      </c>
      <c r="C657" s="39" t="s">
        <v>412</v>
      </c>
      <c r="D657" s="39" t="s">
        <v>152</v>
      </c>
      <c r="E657" s="39" t="s">
        <v>468</v>
      </c>
      <c r="F657" s="111">
        <v>610</v>
      </c>
      <c r="G657" s="18">
        <f>3393.67+5391.97</f>
        <v>8785.64</v>
      </c>
      <c r="H657" s="18">
        <v>0</v>
      </c>
      <c r="I657" s="18">
        <v>0</v>
      </c>
    </row>
    <row r="658" spans="1:9" ht="45" x14ac:dyDescent="0.25">
      <c r="A658" s="48">
        <v>641</v>
      </c>
      <c r="B658" s="80" t="s">
        <v>508</v>
      </c>
      <c r="C658" s="39" t="s">
        <v>412</v>
      </c>
      <c r="D658" s="39" t="s">
        <v>152</v>
      </c>
      <c r="E658" s="39" t="s">
        <v>395</v>
      </c>
      <c r="F658" s="111"/>
      <c r="G658" s="18">
        <f>G659</f>
        <v>10319.69</v>
      </c>
      <c r="H658" s="18"/>
      <c r="I658" s="18"/>
    </row>
    <row r="659" spans="1:9" ht="30" x14ac:dyDescent="0.25">
      <c r="A659" s="22">
        <v>642</v>
      </c>
      <c r="B659" s="81" t="s">
        <v>58</v>
      </c>
      <c r="C659" s="39" t="s">
        <v>412</v>
      </c>
      <c r="D659" s="39" t="s">
        <v>152</v>
      </c>
      <c r="E659" s="39" t="s">
        <v>395</v>
      </c>
      <c r="F659" s="111">
        <v>600</v>
      </c>
      <c r="G659" s="18">
        <f>G660</f>
        <v>10319.69</v>
      </c>
      <c r="H659" s="18"/>
      <c r="I659" s="18"/>
    </row>
    <row r="660" spans="1:9" x14ac:dyDescent="0.25">
      <c r="A660" s="48">
        <v>643</v>
      </c>
      <c r="B660" s="81" t="s">
        <v>78</v>
      </c>
      <c r="C660" s="39" t="s">
        <v>412</v>
      </c>
      <c r="D660" s="39" t="s">
        <v>152</v>
      </c>
      <c r="E660" s="39" t="s">
        <v>395</v>
      </c>
      <c r="F660" s="111">
        <v>610</v>
      </c>
      <c r="G660" s="18">
        <f>8048.8+894.4+1238.92+137.57</f>
        <v>10319.69</v>
      </c>
      <c r="H660" s="18"/>
      <c r="I660" s="18"/>
    </row>
    <row r="661" spans="1:9" ht="23.25" customHeight="1" x14ac:dyDescent="0.25">
      <c r="A661" s="22">
        <v>644</v>
      </c>
      <c r="B661" s="112" t="s">
        <v>76</v>
      </c>
      <c r="C661" s="39">
        <v>952</v>
      </c>
      <c r="D661" s="39" t="s">
        <v>152</v>
      </c>
      <c r="E661" s="39" t="s">
        <v>267</v>
      </c>
      <c r="F661" s="111"/>
      <c r="G661" s="18">
        <f>G662+G665+G668+G671+G674</f>
        <v>843.69999999999993</v>
      </c>
      <c r="H661" s="18">
        <f t="shared" ref="H661:I661" si="279">H662+H665+H668+H671</f>
        <v>0</v>
      </c>
      <c r="I661" s="18">
        <f t="shared" si="279"/>
        <v>0</v>
      </c>
    </row>
    <row r="662" spans="1:9" ht="15.75" x14ac:dyDescent="0.25">
      <c r="A662" s="48">
        <v>645</v>
      </c>
      <c r="B662" s="71" t="s">
        <v>332</v>
      </c>
      <c r="C662" s="70">
        <v>952</v>
      </c>
      <c r="D662" s="39" t="s">
        <v>152</v>
      </c>
      <c r="E662" s="23" t="s">
        <v>333</v>
      </c>
      <c r="F662" s="70"/>
      <c r="G662" s="18">
        <f>G663</f>
        <v>48.29</v>
      </c>
      <c r="H662" s="18">
        <f t="shared" ref="H662:I663" si="280">H663</f>
        <v>0</v>
      </c>
      <c r="I662" s="18">
        <f t="shared" si="280"/>
        <v>0</v>
      </c>
    </row>
    <row r="663" spans="1:9" ht="31.5" x14ac:dyDescent="0.25">
      <c r="A663" s="22">
        <v>646</v>
      </c>
      <c r="B663" s="66" t="s">
        <v>58</v>
      </c>
      <c r="C663" s="70">
        <v>952</v>
      </c>
      <c r="D663" s="39" t="s">
        <v>152</v>
      </c>
      <c r="E663" s="23" t="s">
        <v>333</v>
      </c>
      <c r="F663" s="70">
        <v>600</v>
      </c>
      <c r="G663" s="18">
        <f>G664</f>
        <v>48.29</v>
      </c>
      <c r="H663" s="18">
        <f t="shared" si="280"/>
        <v>0</v>
      </c>
      <c r="I663" s="18">
        <f t="shared" si="280"/>
        <v>0</v>
      </c>
    </row>
    <row r="664" spans="1:9" ht="15.75" x14ac:dyDescent="0.25">
      <c r="A664" s="48">
        <v>647</v>
      </c>
      <c r="B664" s="66" t="s">
        <v>78</v>
      </c>
      <c r="C664" s="70">
        <v>952</v>
      </c>
      <c r="D664" s="39" t="s">
        <v>152</v>
      </c>
      <c r="E664" s="23" t="s">
        <v>333</v>
      </c>
      <c r="F664" s="70">
        <v>610</v>
      </c>
      <c r="G664" s="18">
        <f>11.4+37.8+0.09-1</f>
        <v>48.29</v>
      </c>
      <c r="H664" s="18">
        <v>0</v>
      </c>
      <c r="I664" s="18">
        <v>0</v>
      </c>
    </row>
    <row r="665" spans="1:9" ht="15.75" x14ac:dyDescent="0.25">
      <c r="A665" s="22">
        <v>648</v>
      </c>
      <c r="B665" s="71" t="s">
        <v>332</v>
      </c>
      <c r="C665" s="70">
        <v>952</v>
      </c>
      <c r="D665" s="39" t="s">
        <v>152</v>
      </c>
      <c r="E665" s="23" t="s">
        <v>517</v>
      </c>
      <c r="F665" s="70"/>
      <c r="G665" s="18">
        <f>G666</f>
        <v>55.5</v>
      </c>
      <c r="H665" s="18">
        <f t="shared" ref="H665:I666" si="281">H666</f>
        <v>0</v>
      </c>
      <c r="I665" s="18">
        <f t="shared" si="281"/>
        <v>0</v>
      </c>
    </row>
    <row r="666" spans="1:9" ht="31.5" x14ac:dyDescent="0.25">
      <c r="A666" s="48">
        <v>649</v>
      </c>
      <c r="B666" s="66" t="s">
        <v>58</v>
      </c>
      <c r="C666" s="70">
        <v>952</v>
      </c>
      <c r="D666" s="39" t="s">
        <v>152</v>
      </c>
      <c r="E666" s="23" t="s">
        <v>517</v>
      </c>
      <c r="F666" s="70">
        <v>600</v>
      </c>
      <c r="G666" s="18">
        <f>G667</f>
        <v>55.5</v>
      </c>
      <c r="H666" s="18">
        <f t="shared" si="281"/>
        <v>0</v>
      </c>
      <c r="I666" s="18">
        <f t="shared" si="281"/>
        <v>0</v>
      </c>
    </row>
    <row r="667" spans="1:9" ht="15.75" x14ac:dyDescent="0.25">
      <c r="A667" s="22">
        <v>650</v>
      </c>
      <c r="B667" s="66" t="s">
        <v>78</v>
      </c>
      <c r="C667" s="70">
        <v>952</v>
      </c>
      <c r="D667" s="39" t="s">
        <v>152</v>
      </c>
      <c r="E667" s="23" t="s">
        <v>517</v>
      </c>
      <c r="F667" s="70">
        <v>610</v>
      </c>
      <c r="G667" s="18">
        <f>40.9+14.6</f>
        <v>55.5</v>
      </c>
      <c r="H667" s="18">
        <v>0</v>
      </c>
      <c r="I667" s="18">
        <v>0</v>
      </c>
    </row>
    <row r="668" spans="1:9" ht="31.5" x14ac:dyDescent="0.25">
      <c r="A668" s="48">
        <v>651</v>
      </c>
      <c r="B668" s="65" t="s">
        <v>424</v>
      </c>
      <c r="C668" s="70">
        <v>952</v>
      </c>
      <c r="D668" s="39" t="s">
        <v>152</v>
      </c>
      <c r="E668" s="23" t="s">
        <v>396</v>
      </c>
      <c r="F668" s="70"/>
      <c r="G668" s="18">
        <f>G669</f>
        <v>400</v>
      </c>
      <c r="H668" s="18">
        <f t="shared" ref="H668:I669" si="282">H669</f>
        <v>0</v>
      </c>
      <c r="I668" s="18">
        <f t="shared" si="282"/>
        <v>0</v>
      </c>
    </row>
    <row r="669" spans="1:9" ht="31.5" x14ac:dyDescent="0.25">
      <c r="A669" s="22">
        <v>652</v>
      </c>
      <c r="B669" s="66" t="s">
        <v>58</v>
      </c>
      <c r="C669" s="70">
        <v>952</v>
      </c>
      <c r="D669" s="39" t="s">
        <v>152</v>
      </c>
      <c r="E669" s="23" t="s">
        <v>396</v>
      </c>
      <c r="F669" s="70">
        <v>600</v>
      </c>
      <c r="G669" s="18">
        <f>G670</f>
        <v>400</v>
      </c>
      <c r="H669" s="18">
        <f t="shared" si="282"/>
        <v>0</v>
      </c>
      <c r="I669" s="18">
        <f t="shared" si="282"/>
        <v>0</v>
      </c>
    </row>
    <row r="670" spans="1:9" ht="15.75" x14ac:dyDescent="0.25">
      <c r="A670" s="48">
        <v>653</v>
      </c>
      <c r="B670" s="66" t="s">
        <v>78</v>
      </c>
      <c r="C670" s="70">
        <v>952</v>
      </c>
      <c r="D670" s="39" t="s">
        <v>152</v>
      </c>
      <c r="E670" s="23" t="s">
        <v>396</v>
      </c>
      <c r="F670" s="70">
        <v>610</v>
      </c>
      <c r="G670" s="18">
        <v>400</v>
      </c>
      <c r="H670" s="18">
        <v>0</v>
      </c>
      <c r="I670" s="18">
        <v>0</v>
      </c>
    </row>
    <row r="671" spans="1:9" ht="31.5" x14ac:dyDescent="0.25">
      <c r="A671" s="22">
        <v>654</v>
      </c>
      <c r="B671" s="65" t="s">
        <v>470</v>
      </c>
      <c r="C671" s="70">
        <v>952</v>
      </c>
      <c r="D671" s="39" t="s">
        <v>152</v>
      </c>
      <c r="E671" s="23" t="s">
        <v>471</v>
      </c>
      <c r="F671" s="70"/>
      <c r="G671" s="18">
        <f>G672</f>
        <v>165.91</v>
      </c>
      <c r="H671" s="18">
        <f t="shared" ref="H671:I671" si="283">H672</f>
        <v>0</v>
      </c>
      <c r="I671" s="18">
        <f t="shared" si="283"/>
        <v>0</v>
      </c>
    </row>
    <row r="672" spans="1:9" ht="31.5" x14ac:dyDescent="0.25">
      <c r="A672" s="48">
        <v>655</v>
      </c>
      <c r="B672" s="66" t="s">
        <v>58</v>
      </c>
      <c r="C672" s="70">
        <v>952</v>
      </c>
      <c r="D672" s="39" t="s">
        <v>152</v>
      </c>
      <c r="E672" s="23" t="s">
        <v>471</v>
      </c>
      <c r="F672" s="70">
        <v>600</v>
      </c>
      <c r="G672" s="18">
        <f>G673</f>
        <v>165.91</v>
      </c>
      <c r="H672" s="18">
        <f>H673</f>
        <v>0</v>
      </c>
      <c r="I672" s="18">
        <f>I673</f>
        <v>0</v>
      </c>
    </row>
    <row r="673" spans="1:9" ht="15.75" x14ac:dyDescent="0.25">
      <c r="A673" s="22">
        <v>656</v>
      </c>
      <c r="B673" s="66" t="s">
        <v>78</v>
      </c>
      <c r="C673" s="70">
        <v>952</v>
      </c>
      <c r="D673" s="39" t="s">
        <v>152</v>
      </c>
      <c r="E673" s="23" t="s">
        <v>471</v>
      </c>
      <c r="F673" s="70">
        <v>610</v>
      </c>
      <c r="G673" s="18">
        <f>166-0.09</f>
        <v>165.91</v>
      </c>
      <c r="H673" s="18">
        <v>0</v>
      </c>
      <c r="I673" s="18">
        <v>0</v>
      </c>
    </row>
    <row r="674" spans="1:9" ht="31.5" x14ac:dyDescent="0.25">
      <c r="A674" s="48">
        <v>657</v>
      </c>
      <c r="B674" s="124" t="s">
        <v>511</v>
      </c>
      <c r="C674" s="70">
        <v>952</v>
      </c>
      <c r="D674" s="39" t="s">
        <v>152</v>
      </c>
      <c r="E674" s="23" t="s">
        <v>509</v>
      </c>
      <c r="F674" s="70"/>
      <c r="G674" s="18">
        <f>G675</f>
        <v>174</v>
      </c>
      <c r="H674" s="18">
        <f t="shared" ref="H674:I675" si="284">H675</f>
        <v>0</v>
      </c>
      <c r="I674" s="18">
        <f t="shared" si="284"/>
        <v>0</v>
      </c>
    </row>
    <row r="675" spans="1:9" ht="31.5" x14ac:dyDescent="0.25">
      <c r="A675" s="22">
        <v>658</v>
      </c>
      <c r="B675" s="66" t="s">
        <v>58</v>
      </c>
      <c r="C675" s="70">
        <v>952</v>
      </c>
      <c r="D675" s="39" t="s">
        <v>152</v>
      </c>
      <c r="E675" s="23" t="s">
        <v>509</v>
      </c>
      <c r="F675" s="70">
        <v>600</v>
      </c>
      <c r="G675" s="18">
        <f>G676</f>
        <v>174</v>
      </c>
      <c r="H675" s="18">
        <f t="shared" si="284"/>
        <v>0</v>
      </c>
      <c r="I675" s="18">
        <f t="shared" si="284"/>
        <v>0</v>
      </c>
    </row>
    <row r="676" spans="1:9" ht="15.75" x14ac:dyDescent="0.25">
      <c r="A676" s="48">
        <v>659</v>
      </c>
      <c r="B676" s="66" t="s">
        <v>78</v>
      </c>
      <c r="C676" s="70">
        <v>952</v>
      </c>
      <c r="D676" s="39" t="s">
        <v>152</v>
      </c>
      <c r="E676" s="23" t="s">
        <v>509</v>
      </c>
      <c r="F676" s="70">
        <v>610</v>
      </c>
      <c r="G676" s="18">
        <f>140+34</f>
        <v>174</v>
      </c>
      <c r="H676" s="18">
        <v>0</v>
      </c>
      <c r="I676" s="18">
        <v>0</v>
      </c>
    </row>
    <row r="677" spans="1:9" x14ac:dyDescent="0.25">
      <c r="A677" s="22">
        <v>660</v>
      </c>
      <c r="B677" s="81" t="s">
        <v>89</v>
      </c>
      <c r="C677" s="39">
        <v>952</v>
      </c>
      <c r="D677" s="39" t="s">
        <v>153</v>
      </c>
      <c r="E677" s="111"/>
      <c r="F677" s="111"/>
      <c r="G677" s="18">
        <f>G678</f>
        <v>3388.59</v>
      </c>
      <c r="H677" s="18">
        <f t="shared" ref="H677:I679" si="285">H678</f>
        <v>3708.7000000000003</v>
      </c>
      <c r="I677" s="18">
        <f t="shared" si="285"/>
        <v>3708.7000000000003</v>
      </c>
    </row>
    <row r="678" spans="1:9" x14ac:dyDescent="0.25">
      <c r="A678" s="48">
        <v>661</v>
      </c>
      <c r="B678" s="112" t="s">
        <v>435</v>
      </c>
      <c r="C678" s="39">
        <v>952</v>
      </c>
      <c r="D678" s="39" t="s">
        <v>153</v>
      </c>
      <c r="E678" s="39" t="s">
        <v>248</v>
      </c>
      <c r="F678" s="111"/>
      <c r="G678" s="18">
        <f>G679</f>
        <v>3388.59</v>
      </c>
      <c r="H678" s="18">
        <f t="shared" si="285"/>
        <v>3708.7000000000003</v>
      </c>
      <c r="I678" s="18">
        <f t="shared" si="285"/>
        <v>3708.7000000000003</v>
      </c>
    </row>
    <row r="679" spans="1:9" x14ac:dyDescent="0.25">
      <c r="A679" s="22">
        <v>662</v>
      </c>
      <c r="B679" s="112" t="s">
        <v>76</v>
      </c>
      <c r="C679" s="39">
        <v>952</v>
      </c>
      <c r="D679" s="39" t="s">
        <v>153</v>
      </c>
      <c r="E679" s="39" t="s">
        <v>267</v>
      </c>
      <c r="F679" s="111"/>
      <c r="G679" s="18">
        <f>G680+G687+G690</f>
        <v>3388.59</v>
      </c>
      <c r="H679" s="18">
        <f t="shared" si="285"/>
        <v>3708.7000000000003</v>
      </c>
      <c r="I679" s="18">
        <f t="shared" si="285"/>
        <v>3708.7000000000003</v>
      </c>
    </row>
    <row r="680" spans="1:9" x14ac:dyDescent="0.25">
      <c r="A680" s="48">
        <v>663</v>
      </c>
      <c r="B680" s="112" t="s">
        <v>90</v>
      </c>
      <c r="C680" s="39">
        <v>952</v>
      </c>
      <c r="D680" s="39" t="s">
        <v>153</v>
      </c>
      <c r="E680" s="39" t="s">
        <v>268</v>
      </c>
      <c r="F680" s="111"/>
      <c r="G680" s="18">
        <f>G681+G683+G685</f>
        <v>3348.7000000000003</v>
      </c>
      <c r="H680" s="18">
        <f t="shared" ref="H680:I680" si="286">H681+H683+H685</f>
        <v>3708.7000000000003</v>
      </c>
      <c r="I680" s="18">
        <f t="shared" si="286"/>
        <v>3708.7000000000003</v>
      </c>
    </row>
    <row r="681" spans="1:9" ht="45" x14ac:dyDescent="0.25">
      <c r="A681" s="22">
        <v>664</v>
      </c>
      <c r="B681" s="81" t="s">
        <v>17</v>
      </c>
      <c r="C681" s="39">
        <v>952</v>
      </c>
      <c r="D681" s="39" t="s">
        <v>153</v>
      </c>
      <c r="E681" s="39" t="s">
        <v>268</v>
      </c>
      <c r="F681" s="111">
        <v>100</v>
      </c>
      <c r="G681" s="18">
        <f>G682</f>
        <v>2635.76</v>
      </c>
      <c r="H681" s="18">
        <f t="shared" ref="H681:I681" si="287">H682</f>
        <v>2813.03</v>
      </c>
      <c r="I681" s="18">
        <f t="shared" si="287"/>
        <v>2813.03</v>
      </c>
    </row>
    <row r="682" spans="1:9" x14ac:dyDescent="0.25">
      <c r="A682" s="48">
        <v>665</v>
      </c>
      <c r="B682" s="81" t="s">
        <v>73</v>
      </c>
      <c r="C682" s="39">
        <v>952</v>
      </c>
      <c r="D682" s="39" t="s">
        <v>153</v>
      </c>
      <c r="E682" s="39" t="s">
        <v>268</v>
      </c>
      <c r="F682" s="111">
        <v>110</v>
      </c>
      <c r="G682" s="18">
        <f>2813.03-177.27</f>
        <v>2635.76</v>
      </c>
      <c r="H682" s="18">
        <v>2813.03</v>
      </c>
      <c r="I682" s="18">
        <v>2813.03</v>
      </c>
    </row>
    <row r="683" spans="1:9" x14ac:dyDescent="0.25">
      <c r="A683" s="22">
        <v>666</v>
      </c>
      <c r="B683" s="81" t="s">
        <v>23</v>
      </c>
      <c r="C683" s="39">
        <v>952</v>
      </c>
      <c r="D683" s="39" t="s">
        <v>153</v>
      </c>
      <c r="E683" s="39" t="s">
        <v>268</v>
      </c>
      <c r="F683" s="111">
        <v>200</v>
      </c>
      <c r="G683" s="18">
        <f>G684</f>
        <v>711.93999999999994</v>
      </c>
      <c r="H683" s="18">
        <f t="shared" ref="H683:I683" si="288">H684</f>
        <v>894.67</v>
      </c>
      <c r="I683" s="18">
        <f t="shared" si="288"/>
        <v>894.67</v>
      </c>
    </row>
    <row r="684" spans="1:9" x14ac:dyDescent="0.25">
      <c r="A684" s="48">
        <v>667</v>
      </c>
      <c r="B684" s="81" t="s">
        <v>24</v>
      </c>
      <c r="C684" s="39">
        <v>952</v>
      </c>
      <c r="D684" s="39" t="s">
        <v>153</v>
      </c>
      <c r="E684" s="39" t="s">
        <v>268</v>
      </c>
      <c r="F684" s="111">
        <v>240</v>
      </c>
      <c r="G684" s="18">
        <f>894.67-182.73</f>
        <v>711.93999999999994</v>
      </c>
      <c r="H684" s="18">
        <v>894.67</v>
      </c>
      <c r="I684" s="18">
        <v>894.67</v>
      </c>
    </row>
    <row r="685" spans="1:9" x14ac:dyDescent="0.25">
      <c r="A685" s="22">
        <v>668</v>
      </c>
      <c r="B685" s="81" t="s">
        <v>38</v>
      </c>
      <c r="C685" s="39">
        <v>952</v>
      </c>
      <c r="D685" s="39" t="s">
        <v>153</v>
      </c>
      <c r="E685" s="39" t="s">
        <v>268</v>
      </c>
      <c r="F685" s="111">
        <v>800</v>
      </c>
      <c r="G685" s="18">
        <f>G686</f>
        <v>1</v>
      </c>
      <c r="H685" s="18">
        <f t="shared" ref="H685:I685" si="289">H686</f>
        <v>1</v>
      </c>
      <c r="I685" s="18">
        <f t="shared" si="289"/>
        <v>1</v>
      </c>
    </row>
    <row r="686" spans="1:9" x14ac:dyDescent="0.25">
      <c r="A686" s="48">
        <v>669</v>
      </c>
      <c r="B686" s="81" t="s">
        <v>108</v>
      </c>
      <c r="C686" s="39">
        <v>952</v>
      </c>
      <c r="D686" s="39" t="s">
        <v>153</v>
      </c>
      <c r="E686" s="39" t="s">
        <v>268</v>
      </c>
      <c r="F686" s="111">
        <v>850</v>
      </c>
      <c r="G686" s="18">
        <v>1</v>
      </c>
      <c r="H686" s="18">
        <v>1</v>
      </c>
      <c r="I686" s="18">
        <v>1</v>
      </c>
    </row>
    <row r="687" spans="1:9" ht="30" x14ac:dyDescent="0.25">
      <c r="A687" s="22">
        <v>670</v>
      </c>
      <c r="B687" s="112" t="s">
        <v>443</v>
      </c>
      <c r="C687" s="39" t="s">
        <v>412</v>
      </c>
      <c r="D687" s="39" t="s">
        <v>153</v>
      </c>
      <c r="E687" s="39" t="s">
        <v>461</v>
      </c>
      <c r="F687" s="111"/>
      <c r="G687" s="18">
        <f>G688</f>
        <v>12.2</v>
      </c>
      <c r="H687" s="18"/>
      <c r="I687" s="18"/>
    </row>
    <row r="688" spans="1:9" ht="45" x14ac:dyDescent="0.25">
      <c r="A688" s="48">
        <v>671</v>
      </c>
      <c r="B688" s="81" t="s">
        <v>17</v>
      </c>
      <c r="C688" s="39" t="s">
        <v>412</v>
      </c>
      <c r="D688" s="39" t="s">
        <v>153</v>
      </c>
      <c r="E688" s="39" t="s">
        <v>461</v>
      </c>
      <c r="F688" s="111">
        <v>100</v>
      </c>
      <c r="G688" s="18">
        <f>G689</f>
        <v>12.2</v>
      </c>
      <c r="H688" s="18"/>
      <c r="I688" s="18"/>
    </row>
    <row r="689" spans="1:9" x14ac:dyDescent="0.25">
      <c r="A689" s="22">
        <v>672</v>
      </c>
      <c r="B689" s="81" t="s">
        <v>73</v>
      </c>
      <c r="C689" s="39" t="s">
        <v>412</v>
      </c>
      <c r="D689" s="39" t="s">
        <v>153</v>
      </c>
      <c r="E689" s="39" t="s">
        <v>461</v>
      </c>
      <c r="F689" s="111">
        <v>110</v>
      </c>
      <c r="G689" s="18">
        <v>12.2</v>
      </c>
      <c r="H689" s="18"/>
      <c r="I689" s="18"/>
    </row>
    <row r="690" spans="1:9" ht="60" x14ac:dyDescent="0.25">
      <c r="A690" s="48">
        <v>673</v>
      </c>
      <c r="B690" s="118" t="s">
        <v>556</v>
      </c>
      <c r="C690" s="39" t="s">
        <v>412</v>
      </c>
      <c r="D690" s="39" t="s">
        <v>153</v>
      </c>
      <c r="E690" s="39" t="s">
        <v>544</v>
      </c>
      <c r="F690" s="111"/>
      <c r="G690" s="18">
        <f>G691</f>
        <v>27.69</v>
      </c>
      <c r="H690" s="18">
        <f t="shared" ref="H690:I691" si="290">H691</f>
        <v>0</v>
      </c>
      <c r="I690" s="18">
        <f t="shared" si="290"/>
        <v>0</v>
      </c>
    </row>
    <row r="691" spans="1:9" ht="45" x14ac:dyDescent="0.25">
      <c r="A691" s="22">
        <v>674</v>
      </c>
      <c r="B691" s="81" t="s">
        <v>17</v>
      </c>
      <c r="C691" s="39" t="s">
        <v>412</v>
      </c>
      <c r="D691" s="39" t="s">
        <v>153</v>
      </c>
      <c r="E691" s="39" t="s">
        <v>544</v>
      </c>
      <c r="F691" s="111">
        <v>100</v>
      </c>
      <c r="G691" s="18">
        <f>G692</f>
        <v>27.69</v>
      </c>
      <c r="H691" s="18">
        <f t="shared" si="290"/>
        <v>0</v>
      </c>
      <c r="I691" s="18">
        <f t="shared" si="290"/>
        <v>0</v>
      </c>
    </row>
    <row r="692" spans="1:9" x14ac:dyDescent="0.25">
      <c r="A692" s="48">
        <v>675</v>
      </c>
      <c r="B692" s="81" t="s">
        <v>73</v>
      </c>
      <c r="C692" s="39" t="s">
        <v>412</v>
      </c>
      <c r="D692" s="39" t="s">
        <v>153</v>
      </c>
      <c r="E692" s="39" t="s">
        <v>544</v>
      </c>
      <c r="F692" s="111">
        <v>110</v>
      </c>
      <c r="G692" s="18">
        <v>27.69</v>
      </c>
      <c r="H692" s="18">
        <v>0</v>
      </c>
      <c r="I692" s="18">
        <v>0</v>
      </c>
    </row>
    <row r="693" spans="1:9" ht="15.75" x14ac:dyDescent="0.25">
      <c r="A693" s="22">
        <v>676</v>
      </c>
      <c r="B693" s="65" t="s">
        <v>334</v>
      </c>
      <c r="C693" s="70">
        <v>952</v>
      </c>
      <c r="D693" s="72" t="s">
        <v>336</v>
      </c>
      <c r="E693" s="23"/>
      <c r="F693" s="70"/>
      <c r="G693" s="18">
        <f>G694+G704</f>
        <v>389.47</v>
      </c>
      <c r="H693" s="18">
        <f t="shared" ref="H693:I693" si="291">H694</f>
        <v>139.47</v>
      </c>
      <c r="I693" s="18">
        <f t="shared" si="291"/>
        <v>139.47</v>
      </c>
    </row>
    <row r="694" spans="1:9" ht="15.75" x14ac:dyDescent="0.25">
      <c r="A694" s="48">
        <v>677</v>
      </c>
      <c r="B694" s="125" t="s">
        <v>335</v>
      </c>
      <c r="C694" s="70">
        <v>952</v>
      </c>
      <c r="D694" s="72">
        <v>1101</v>
      </c>
      <c r="E694" s="23"/>
      <c r="F694" s="70"/>
      <c r="G694" s="18">
        <f t="shared" ref="G694:G698" si="292">G695</f>
        <v>89.47</v>
      </c>
      <c r="H694" s="18">
        <f t="shared" ref="H694:I694" si="293">H695</f>
        <v>139.47</v>
      </c>
      <c r="I694" s="18">
        <f t="shared" si="293"/>
        <v>139.47</v>
      </c>
    </row>
    <row r="695" spans="1:9" ht="30" x14ac:dyDescent="0.25">
      <c r="A695" s="22">
        <v>678</v>
      </c>
      <c r="B695" s="76" t="s">
        <v>337</v>
      </c>
      <c r="C695" s="23">
        <v>952</v>
      </c>
      <c r="D695" s="23" t="s">
        <v>338</v>
      </c>
      <c r="E695" s="23" t="s">
        <v>417</v>
      </c>
      <c r="F695" s="70"/>
      <c r="G695" s="18">
        <f>G696+G700</f>
        <v>89.47</v>
      </c>
      <c r="H695" s="18">
        <f t="shared" ref="H695:I695" si="294">H696+H700</f>
        <v>139.47</v>
      </c>
      <c r="I695" s="18">
        <f t="shared" si="294"/>
        <v>139.47</v>
      </c>
    </row>
    <row r="696" spans="1:9" ht="30" x14ac:dyDescent="0.25">
      <c r="A696" s="48">
        <v>679</v>
      </c>
      <c r="B696" s="113" t="s">
        <v>430</v>
      </c>
      <c r="C696" s="70">
        <v>952</v>
      </c>
      <c r="D696" s="72" t="s">
        <v>338</v>
      </c>
      <c r="E696" s="23" t="s">
        <v>418</v>
      </c>
      <c r="F696" s="70"/>
      <c r="G696" s="18">
        <f t="shared" si="292"/>
        <v>31.370000000000005</v>
      </c>
      <c r="H696" s="18">
        <f t="shared" ref="H696:I696" si="295">H697</f>
        <v>81.37</v>
      </c>
      <c r="I696" s="18">
        <f t="shared" si="295"/>
        <v>81.37</v>
      </c>
    </row>
    <row r="697" spans="1:9" ht="30" x14ac:dyDescent="0.25">
      <c r="A697" s="22">
        <v>680</v>
      </c>
      <c r="B697" s="113" t="s">
        <v>419</v>
      </c>
      <c r="C697" s="70">
        <v>952</v>
      </c>
      <c r="D697" s="72" t="s">
        <v>338</v>
      </c>
      <c r="E697" s="23" t="s">
        <v>420</v>
      </c>
      <c r="F697" s="70"/>
      <c r="G697" s="18">
        <f t="shared" si="292"/>
        <v>31.370000000000005</v>
      </c>
      <c r="H697" s="18">
        <f t="shared" ref="H697:I697" si="296">H698</f>
        <v>81.37</v>
      </c>
      <c r="I697" s="18">
        <f t="shared" si="296"/>
        <v>81.37</v>
      </c>
    </row>
    <row r="698" spans="1:9" ht="31.5" x14ac:dyDescent="0.25">
      <c r="A698" s="48">
        <v>681</v>
      </c>
      <c r="B698" s="66" t="s">
        <v>58</v>
      </c>
      <c r="C698" s="70">
        <v>952</v>
      </c>
      <c r="D698" s="72" t="s">
        <v>338</v>
      </c>
      <c r="E698" s="23" t="s">
        <v>420</v>
      </c>
      <c r="F698" s="70">
        <v>600</v>
      </c>
      <c r="G698" s="18">
        <f t="shared" si="292"/>
        <v>31.370000000000005</v>
      </c>
      <c r="H698" s="18">
        <f t="shared" ref="H698:I698" si="297">H699</f>
        <v>81.37</v>
      </c>
      <c r="I698" s="18">
        <f t="shared" si="297"/>
        <v>81.37</v>
      </c>
    </row>
    <row r="699" spans="1:9" ht="15.75" x14ac:dyDescent="0.25">
      <c r="A699" s="22">
        <v>682</v>
      </c>
      <c r="B699" s="66" t="s">
        <v>78</v>
      </c>
      <c r="C699" s="70">
        <v>952</v>
      </c>
      <c r="D699" s="72" t="s">
        <v>338</v>
      </c>
      <c r="E699" s="23" t="s">
        <v>420</v>
      </c>
      <c r="F699" s="70">
        <v>610</v>
      </c>
      <c r="G699" s="18">
        <f>81.37-50</f>
        <v>31.370000000000005</v>
      </c>
      <c r="H699" s="18">
        <v>81.37</v>
      </c>
      <c r="I699" s="18">
        <v>81.37</v>
      </c>
    </row>
    <row r="700" spans="1:9" ht="31.5" x14ac:dyDescent="0.25">
      <c r="A700" s="48">
        <v>683</v>
      </c>
      <c r="B700" s="65" t="s">
        <v>431</v>
      </c>
      <c r="C700" s="70">
        <v>952</v>
      </c>
      <c r="D700" s="72" t="s">
        <v>338</v>
      </c>
      <c r="E700" s="23" t="s">
        <v>421</v>
      </c>
      <c r="F700" s="70"/>
      <c r="G700" s="18">
        <f>G701</f>
        <v>58.1</v>
      </c>
      <c r="H700" s="18">
        <f t="shared" ref="H700:I702" si="298">H701</f>
        <v>58.1</v>
      </c>
      <c r="I700" s="18">
        <f t="shared" si="298"/>
        <v>58.1</v>
      </c>
    </row>
    <row r="701" spans="1:9" ht="31.5" x14ac:dyDescent="0.25">
      <c r="A701" s="22">
        <v>684</v>
      </c>
      <c r="B701" s="65" t="s">
        <v>425</v>
      </c>
      <c r="C701" s="70">
        <v>952</v>
      </c>
      <c r="D701" s="72" t="s">
        <v>338</v>
      </c>
      <c r="E701" s="23" t="s">
        <v>422</v>
      </c>
      <c r="F701" s="70"/>
      <c r="G701" s="18">
        <f>G702</f>
        <v>58.1</v>
      </c>
      <c r="H701" s="18">
        <f t="shared" si="298"/>
        <v>58.1</v>
      </c>
      <c r="I701" s="18">
        <f t="shared" si="298"/>
        <v>58.1</v>
      </c>
    </row>
    <row r="702" spans="1:9" ht="31.5" x14ac:dyDescent="0.25">
      <c r="A702" s="48">
        <v>685</v>
      </c>
      <c r="B702" s="66" t="s">
        <v>58</v>
      </c>
      <c r="C702" s="70">
        <v>952</v>
      </c>
      <c r="D702" s="72" t="s">
        <v>338</v>
      </c>
      <c r="E702" s="23" t="s">
        <v>422</v>
      </c>
      <c r="F702" s="70">
        <v>600</v>
      </c>
      <c r="G702" s="18">
        <f>G703</f>
        <v>58.1</v>
      </c>
      <c r="H702" s="18">
        <f t="shared" si="298"/>
        <v>58.1</v>
      </c>
      <c r="I702" s="18">
        <f t="shared" si="298"/>
        <v>58.1</v>
      </c>
    </row>
    <row r="703" spans="1:9" ht="15.75" x14ac:dyDescent="0.25">
      <c r="A703" s="22">
        <v>686</v>
      </c>
      <c r="B703" s="66" t="s">
        <v>78</v>
      </c>
      <c r="C703" s="70">
        <v>952</v>
      </c>
      <c r="D703" s="72" t="s">
        <v>338</v>
      </c>
      <c r="E703" s="23" t="s">
        <v>422</v>
      </c>
      <c r="F703" s="70">
        <v>610</v>
      </c>
      <c r="G703" s="18">
        <v>58.1</v>
      </c>
      <c r="H703" s="18">
        <v>58.1</v>
      </c>
      <c r="I703" s="18">
        <v>58.1</v>
      </c>
    </row>
    <row r="704" spans="1:9" ht="27.75" customHeight="1" x14ac:dyDescent="0.25">
      <c r="A704" s="48">
        <v>687</v>
      </c>
      <c r="B704" s="65" t="s">
        <v>504</v>
      </c>
      <c r="C704" s="70">
        <v>952</v>
      </c>
      <c r="D704" s="72" t="s">
        <v>505</v>
      </c>
      <c r="E704" s="23"/>
      <c r="F704" s="70"/>
      <c r="G704" s="18">
        <f>G705</f>
        <v>300</v>
      </c>
      <c r="H704" s="18">
        <f t="shared" ref="H704:I707" si="299">H705</f>
        <v>0</v>
      </c>
      <c r="I704" s="18">
        <f t="shared" si="299"/>
        <v>0</v>
      </c>
    </row>
    <row r="705" spans="1:9" ht="27.75" customHeight="1" x14ac:dyDescent="0.25">
      <c r="A705" s="22">
        <v>688</v>
      </c>
      <c r="B705" s="76" t="s">
        <v>337</v>
      </c>
      <c r="C705" s="70">
        <v>952</v>
      </c>
      <c r="D705" s="72" t="s">
        <v>505</v>
      </c>
      <c r="E705" s="23" t="s">
        <v>417</v>
      </c>
      <c r="F705" s="70"/>
      <c r="G705" s="18">
        <f>G706</f>
        <v>300</v>
      </c>
      <c r="H705" s="18">
        <f t="shared" si="299"/>
        <v>0</v>
      </c>
      <c r="I705" s="18">
        <f t="shared" si="299"/>
        <v>0</v>
      </c>
    </row>
    <row r="706" spans="1:9" ht="27.75" customHeight="1" x14ac:dyDescent="0.25">
      <c r="A706" s="48">
        <v>689</v>
      </c>
      <c r="B706" s="113" t="s">
        <v>430</v>
      </c>
      <c r="C706" s="70">
        <v>952</v>
      </c>
      <c r="D706" s="72" t="s">
        <v>505</v>
      </c>
      <c r="E706" s="23" t="s">
        <v>418</v>
      </c>
      <c r="F706" s="70"/>
      <c r="G706" s="18">
        <f>G707+G710</f>
        <v>300</v>
      </c>
      <c r="H706" s="18">
        <f t="shared" si="299"/>
        <v>0</v>
      </c>
      <c r="I706" s="18">
        <f t="shared" si="299"/>
        <v>0</v>
      </c>
    </row>
    <row r="707" spans="1:9" ht="27.75" customHeight="1" x14ac:dyDescent="0.25">
      <c r="A707" s="22">
        <v>690</v>
      </c>
      <c r="B707" s="113" t="s">
        <v>510</v>
      </c>
      <c r="C707" s="70">
        <v>952</v>
      </c>
      <c r="D707" s="72" t="s">
        <v>505</v>
      </c>
      <c r="E707" s="23" t="s">
        <v>506</v>
      </c>
      <c r="F707" s="70"/>
      <c r="G707" s="18">
        <f>G708</f>
        <v>250</v>
      </c>
      <c r="H707" s="18">
        <f t="shared" si="299"/>
        <v>0</v>
      </c>
      <c r="I707" s="18">
        <f t="shared" si="299"/>
        <v>0</v>
      </c>
    </row>
    <row r="708" spans="1:9" ht="27.75" customHeight="1" x14ac:dyDescent="0.25">
      <c r="A708" s="48">
        <v>691</v>
      </c>
      <c r="B708" s="66" t="s">
        <v>58</v>
      </c>
      <c r="C708" s="70">
        <v>952</v>
      </c>
      <c r="D708" s="72" t="s">
        <v>505</v>
      </c>
      <c r="E708" s="23" t="s">
        <v>506</v>
      </c>
      <c r="F708" s="70">
        <v>600</v>
      </c>
      <c r="G708" s="18">
        <v>250</v>
      </c>
      <c r="H708" s="18">
        <v>0</v>
      </c>
      <c r="I708" s="18">
        <v>0</v>
      </c>
    </row>
    <row r="709" spans="1:9" ht="27.75" customHeight="1" x14ac:dyDescent="0.25">
      <c r="A709" s="22">
        <v>692</v>
      </c>
      <c r="B709" s="66" t="s">
        <v>78</v>
      </c>
      <c r="C709" s="70">
        <v>952</v>
      </c>
      <c r="D709" s="72" t="s">
        <v>505</v>
      </c>
      <c r="E709" s="23" t="s">
        <v>506</v>
      </c>
      <c r="F709" s="70">
        <v>610</v>
      </c>
      <c r="G709" s="18">
        <v>250</v>
      </c>
      <c r="H709" s="18">
        <v>0</v>
      </c>
      <c r="I709" s="18">
        <v>0</v>
      </c>
    </row>
    <row r="710" spans="1:9" ht="27.75" customHeight="1" x14ac:dyDescent="0.25">
      <c r="A710" s="48">
        <v>693</v>
      </c>
      <c r="B710" s="65" t="s">
        <v>515</v>
      </c>
      <c r="C710" s="70">
        <v>952</v>
      </c>
      <c r="D710" s="72" t="s">
        <v>505</v>
      </c>
      <c r="E710" s="23" t="s">
        <v>516</v>
      </c>
      <c r="F710" s="70"/>
      <c r="G710" s="18">
        <f>G711</f>
        <v>50</v>
      </c>
      <c r="H710" s="18">
        <f t="shared" ref="H710:I711" si="300">H711</f>
        <v>0</v>
      </c>
      <c r="I710" s="18">
        <f t="shared" si="300"/>
        <v>0</v>
      </c>
    </row>
    <row r="711" spans="1:9" ht="34.5" customHeight="1" x14ac:dyDescent="0.25">
      <c r="A711" s="22">
        <v>694</v>
      </c>
      <c r="B711" s="66" t="s">
        <v>58</v>
      </c>
      <c r="C711" s="70">
        <v>952</v>
      </c>
      <c r="D711" s="72" t="s">
        <v>505</v>
      </c>
      <c r="E711" s="23" t="s">
        <v>516</v>
      </c>
      <c r="F711" s="70">
        <v>600</v>
      </c>
      <c r="G711" s="18">
        <f>G712</f>
        <v>50</v>
      </c>
      <c r="H711" s="18">
        <f t="shared" si="300"/>
        <v>0</v>
      </c>
      <c r="I711" s="18">
        <f t="shared" si="300"/>
        <v>0</v>
      </c>
    </row>
    <row r="712" spans="1:9" ht="27.75" customHeight="1" x14ac:dyDescent="0.25">
      <c r="A712" s="48">
        <v>695</v>
      </c>
      <c r="B712" s="66" t="s">
        <v>78</v>
      </c>
      <c r="C712" s="70">
        <v>952</v>
      </c>
      <c r="D712" s="72" t="s">
        <v>505</v>
      </c>
      <c r="E712" s="23" t="s">
        <v>516</v>
      </c>
      <c r="F712" s="70">
        <v>610</v>
      </c>
      <c r="G712" s="18">
        <v>50</v>
      </c>
      <c r="H712" s="18">
        <v>0</v>
      </c>
      <c r="I712" s="18">
        <v>0</v>
      </c>
    </row>
    <row r="713" spans="1:9" ht="37.5" customHeight="1" x14ac:dyDescent="0.25">
      <c r="A713" s="22">
        <v>696</v>
      </c>
      <c r="B713" s="55" t="s">
        <v>315</v>
      </c>
      <c r="C713" s="50">
        <v>953</v>
      </c>
      <c r="D713" s="46"/>
      <c r="E713" s="46"/>
      <c r="F713" s="46"/>
      <c r="G713" s="47">
        <f>G714</f>
        <v>72447.960000000006</v>
      </c>
      <c r="H713" s="47">
        <f t="shared" ref="H713:I713" si="301">H714</f>
        <v>65577.11</v>
      </c>
      <c r="I713" s="47">
        <f t="shared" si="301"/>
        <v>65577.11</v>
      </c>
    </row>
    <row r="714" spans="1:9" x14ac:dyDescent="0.25">
      <c r="A714" s="48">
        <v>697</v>
      </c>
      <c r="B714" s="57" t="s">
        <v>154</v>
      </c>
      <c r="C714" s="23">
        <v>953</v>
      </c>
      <c r="D714" s="23" t="s">
        <v>155</v>
      </c>
      <c r="E714" s="22"/>
      <c r="F714" s="22"/>
      <c r="G714" s="18">
        <f>G715+G723+G735+G743</f>
        <v>72447.960000000006</v>
      </c>
      <c r="H714" s="18">
        <f t="shared" ref="H714:I714" si="302">H715+H723+H735+H743</f>
        <v>65577.11</v>
      </c>
      <c r="I714" s="18">
        <f t="shared" si="302"/>
        <v>65577.11</v>
      </c>
    </row>
    <row r="715" spans="1:9" x14ac:dyDescent="0.25">
      <c r="A715" s="22">
        <v>698</v>
      </c>
      <c r="B715" s="113" t="s">
        <v>94</v>
      </c>
      <c r="C715" s="23">
        <v>953</v>
      </c>
      <c r="D715" s="23" t="s">
        <v>156</v>
      </c>
      <c r="E715" s="22"/>
      <c r="F715" s="22"/>
      <c r="G715" s="18">
        <f t="shared" ref="G715:G721" si="303">G716</f>
        <v>579.71</v>
      </c>
      <c r="H715" s="18">
        <f t="shared" ref="H715:I717" si="304">H716</f>
        <v>490</v>
      </c>
      <c r="I715" s="18">
        <f t="shared" si="304"/>
        <v>490</v>
      </c>
    </row>
    <row r="716" spans="1:9" ht="30" x14ac:dyDescent="0.25">
      <c r="A716" s="48">
        <v>699</v>
      </c>
      <c r="B716" s="112" t="s">
        <v>95</v>
      </c>
      <c r="C716" s="23">
        <v>953</v>
      </c>
      <c r="D716" s="23" t="s">
        <v>156</v>
      </c>
      <c r="E716" s="23" t="s">
        <v>278</v>
      </c>
      <c r="F716" s="22"/>
      <c r="G716" s="18">
        <f t="shared" si="303"/>
        <v>579.71</v>
      </c>
      <c r="H716" s="18">
        <f t="shared" si="304"/>
        <v>490</v>
      </c>
      <c r="I716" s="18">
        <f t="shared" si="304"/>
        <v>490</v>
      </c>
    </row>
    <row r="717" spans="1:9" x14ac:dyDescent="0.25">
      <c r="A717" s="22">
        <v>700</v>
      </c>
      <c r="B717" s="116" t="s">
        <v>96</v>
      </c>
      <c r="C717" s="23">
        <v>953</v>
      </c>
      <c r="D717" s="23" t="s">
        <v>156</v>
      </c>
      <c r="E717" s="23" t="s">
        <v>279</v>
      </c>
      <c r="F717" s="22"/>
      <c r="G717" s="18">
        <f t="shared" si="303"/>
        <v>579.71</v>
      </c>
      <c r="H717" s="18">
        <f t="shared" si="304"/>
        <v>490</v>
      </c>
      <c r="I717" s="18">
        <f t="shared" si="304"/>
        <v>490</v>
      </c>
    </row>
    <row r="718" spans="1:9" ht="30" x14ac:dyDescent="0.25">
      <c r="A718" s="48">
        <v>701</v>
      </c>
      <c r="B718" s="112" t="s">
        <v>97</v>
      </c>
      <c r="C718" s="23">
        <v>953</v>
      </c>
      <c r="D718" s="23" t="s">
        <v>156</v>
      </c>
      <c r="E718" s="23" t="s">
        <v>280</v>
      </c>
      <c r="F718" s="22"/>
      <c r="G718" s="18">
        <f>G721+G719</f>
        <v>579.71</v>
      </c>
      <c r="H718" s="18">
        <f t="shared" ref="H718:I718" si="305">H721+H719</f>
        <v>490</v>
      </c>
      <c r="I718" s="18">
        <f t="shared" si="305"/>
        <v>490</v>
      </c>
    </row>
    <row r="719" spans="1:9" x14ac:dyDescent="0.25">
      <c r="A719" s="22">
        <v>702</v>
      </c>
      <c r="B719" s="81" t="s">
        <v>23</v>
      </c>
      <c r="C719" s="23">
        <v>953</v>
      </c>
      <c r="D719" s="23" t="s">
        <v>156</v>
      </c>
      <c r="E719" s="23" t="s">
        <v>280</v>
      </c>
      <c r="F719" s="22">
        <v>200</v>
      </c>
      <c r="G719" s="18">
        <f>G720</f>
        <v>4.9000000000000004</v>
      </c>
      <c r="H719" s="18">
        <f t="shared" ref="H719:I719" si="306">H720</f>
        <v>4.9000000000000004</v>
      </c>
      <c r="I719" s="18">
        <f t="shared" si="306"/>
        <v>4.9000000000000004</v>
      </c>
    </row>
    <row r="720" spans="1:9" x14ac:dyDescent="0.25">
      <c r="A720" s="48">
        <v>703</v>
      </c>
      <c r="B720" s="81" t="s">
        <v>24</v>
      </c>
      <c r="C720" s="23">
        <v>953</v>
      </c>
      <c r="D720" s="23" t="s">
        <v>156</v>
      </c>
      <c r="E720" s="23" t="s">
        <v>280</v>
      </c>
      <c r="F720" s="22">
        <v>240</v>
      </c>
      <c r="G720" s="18">
        <v>4.9000000000000004</v>
      </c>
      <c r="H720" s="18">
        <v>4.9000000000000004</v>
      </c>
      <c r="I720" s="18">
        <v>4.9000000000000004</v>
      </c>
    </row>
    <row r="721" spans="1:10" x14ac:dyDescent="0.25">
      <c r="A721" s="22">
        <v>704</v>
      </c>
      <c r="B721" s="81" t="s">
        <v>98</v>
      </c>
      <c r="C721" s="23">
        <v>953</v>
      </c>
      <c r="D721" s="23" t="s">
        <v>156</v>
      </c>
      <c r="E721" s="23" t="s">
        <v>280</v>
      </c>
      <c r="F721" s="22">
        <v>300</v>
      </c>
      <c r="G721" s="18">
        <f t="shared" si="303"/>
        <v>574.81000000000006</v>
      </c>
      <c r="H721" s="18">
        <f t="shared" ref="H721:I721" si="307">H722</f>
        <v>485.1</v>
      </c>
      <c r="I721" s="18">
        <f t="shared" si="307"/>
        <v>485.1</v>
      </c>
    </row>
    <row r="722" spans="1:10" x14ac:dyDescent="0.25">
      <c r="A722" s="48">
        <v>705</v>
      </c>
      <c r="B722" s="81" t="s">
        <v>99</v>
      </c>
      <c r="C722" s="23">
        <v>953</v>
      </c>
      <c r="D722" s="23" t="s">
        <v>156</v>
      </c>
      <c r="E722" s="23" t="s">
        <v>280</v>
      </c>
      <c r="F722" s="22">
        <v>310</v>
      </c>
      <c r="G722" s="18">
        <f>485.1+89.71</f>
        <v>574.81000000000006</v>
      </c>
      <c r="H722" s="18">
        <v>485.1</v>
      </c>
      <c r="I722" s="18">
        <v>485.1</v>
      </c>
    </row>
    <row r="723" spans="1:10" x14ac:dyDescent="0.25">
      <c r="A723" s="22">
        <v>706</v>
      </c>
      <c r="B723" s="81" t="s">
        <v>100</v>
      </c>
      <c r="C723" s="23">
        <v>953</v>
      </c>
      <c r="D723" s="23" t="s">
        <v>157</v>
      </c>
      <c r="E723" s="22"/>
      <c r="F723" s="22"/>
      <c r="G723" s="18">
        <f>G724</f>
        <v>61740.170000000006</v>
      </c>
      <c r="H723" s="18">
        <f t="shared" ref="H723:I723" si="308">H724</f>
        <v>54606.3</v>
      </c>
      <c r="I723" s="18">
        <f t="shared" si="308"/>
        <v>54606.3</v>
      </c>
    </row>
    <row r="724" spans="1:10" ht="30" x14ac:dyDescent="0.25">
      <c r="A724" s="48">
        <v>707</v>
      </c>
      <c r="B724" s="112" t="s">
        <v>95</v>
      </c>
      <c r="C724" s="23">
        <v>953</v>
      </c>
      <c r="D724" s="23" t="s">
        <v>157</v>
      </c>
      <c r="E724" s="23" t="s">
        <v>278</v>
      </c>
      <c r="F724" s="22"/>
      <c r="G724" s="18">
        <f>G725</f>
        <v>61740.170000000006</v>
      </c>
      <c r="H724" s="18">
        <f t="shared" ref="H724:I724" si="309">H725</f>
        <v>54606.3</v>
      </c>
      <c r="I724" s="18">
        <f t="shared" si="309"/>
        <v>54606.3</v>
      </c>
    </row>
    <row r="725" spans="1:10" x14ac:dyDescent="0.25">
      <c r="A725" s="22">
        <v>708</v>
      </c>
      <c r="B725" s="112" t="s">
        <v>101</v>
      </c>
      <c r="C725" s="23">
        <v>953</v>
      </c>
      <c r="D725" s="23" t="s">
        <v>157</v>
      </c>
      <c r="E725" s="23" t="s">
        <v>281</v>
      </c>
      <c r="F725" s="22"/>
      <c r="G725" s="18">
        <f>G726+G730+G732</f>
        <v>61740.170000000006</v>
      </c>
      <c r="H725" s="18">
        <f t="shared" ref="H725:I725" si="310">H726+H730+H732</f>
        <v>54606.3</v>
      </c>
      <c r="I725" s="18">
        <f t="shared" si="310"/>
        <v>54606.3</v>
      </c>
    </row>
    <row r="726" spans="1:10" ht="45" x14ac:dyDescent="0.25">
      <c r="A726" s="48">
        <v>709</v>
      </c>
      <c r="B726" s="112" t="s">
        <v>102</v>
      </c>
      <c r="C726" s="23">
        <v>953</v>
      </c>
      <c r="D726" s="23" t="s">
        <v>157</v>
      </c>
      <c r="E726" s="23" t="s">
        <v>282</v>
      </c>
      <c r="F726" s="22"/>
      <c r="G726" s="18">
        <f>G727</f>
        <v>60266.87</v>
      </c>
      <c r="H726" s="18">
        <f t="shared" ref="H726:I726" si="311">H727</f>
        <v>54538.3</v>
      </c>
      <c r="I726" s="18">
        <f t="shared" si="311"/>
        <v>54538.3</v>
      </c>
    </row>
    <row r="727" spans="1:10" ht="30" x14ac:dyDescent="0.25">
      <c r="A727" s="22">
        <v>710</v>
      </c>
      <c r="B727" s="81" t="s">
        <v>58</v>
      </c>
      <c r="C727" s="23">
        <v>953</v>
      </c>
      <c r="D727" s="23" t="s">
        <v>157</v>
      </c>
      <c r="E727" s="23" t="s">
        <v>282</v>
      </c>
      <c r="F727" s="22">
        <v>600</v>
      </c>
      <c r="G727" s="18">
        <f>G728</f>
        <v>60266.87</v>
      </c>
      <c r="H727" s="18">
        <f t="shared" ref="H727:I727" si="312">H728</f>
        <v>54538.3</v>
      </c>
      <c r="I727" s="18">
        <f t="shared" si="312"/>
        <v>54538.3</v>
      </c>
    </row>
    <row r="728" spans="1:10" x14ac:dyDescent="0.25">
      <c r="A728" s="48">
        <v>711</v>
      </c>
      <c r="B728" s="81" t="s">
        <v>78</v>
      </c>
      <c r="C728" s="23">
        <v>953</v>
      </c>
      <c r="D728" s="23" t="s">
        <v>157</v>
      </c>
      <c r="E728" s="23" t="s">
        <v>282</v>
      </c>
      <c r="F728" s="22">
        <v>610</v>
      </c>
      <c r="G728" s="18">
        <f>54538.3+2422.9+1821.27+1484.4</f>
        <v>60266.87</v>
      </c>
      <c r="H728" s="18">
        <v>54538.3</v>
      </c>
      <c r="I728" s="18">
        <v>54538.3</v>
      </c>
      <c r="J728" s="73">
        <v>1484.4</v>
      </c>
    </row>
    <row r="729" spans="1:10" x14ac:dyDescent="0.25">
      <c r="A729" s="22">
        <v>712</v>
      </c>
      <c r="B729" s="116" t="s">
        <v>112</v>
      </c>
      <c r="C729" s="23">
        <v>953</v>
      </c>
      <c r="D729" s="23" t="s">
        <v>157</v>
      </c>
      <c r="E729" s="23" t="s">
        <v>283</v>
      </c>
      <c r="F729" s="22"/>
      <c r="G729" s="18">
        <f>G730</f>
        <v>68</v>
      </c>
      <c r="H729" s="18">
        <f t="shared" ref="H729:I729" si="313">H730</f>
        <v>68</v>
      </c>
      <c r="I729" s="18">
        <f t="shared" si="313"/>
        <v>68</v>
      </c>
    </row>
    <row r="730" spans="1:10" ht="30" x14ac:dyDescent="0.25">
      <c r="A730" s="48">
        <v>713</v>
      </c>
      <c r="B730" s="81" t="s">
        <v>58</v>
      </c>
      <c r="C730" s="23">
        <v>953</v>
      </c>
      <c r="D730" s="23" t="s">
        <v>157</v>
      </c>
      <c r="E730" s="23" t="s">
        <v>283</v>
      </c>
      <c r="F730" s="22">
        <v>600</v>
      </c>
      <c r="G730" s="18">
        <f>G731</f>
        <v>68</v>
      </c>
      <c r="H730" s="18">
        <f t="shared" ref="H730:I730" si="314">H731</f>
        <v>68</v>
      </c>
      <c r="I730" s="18">
        <f t="shared" si="314"/>
        <v>68</v>
      </c>
    </row>
    <row r="731" spans="1:10" x14ac:dyDescent="0.25">
      <c r="A731" s="22">
        <v>714</v>
      </c>
      <c r="B731" s="81" t="s">
        <v>78</v>
      </c>
      <c r="C731" s="23">
        <v>953</v>
      </c>
      <c r="D731" s="23" t="s">
        <v>157</v>
      </c>
      <c r="E731" s="23" t="s">
        <v>283</v>
      </c>
      <c r="F731" s="22">
        <v>610</v>
      </c>
      <c r="G731" s="18">
        <v>68</v>
      </c>
      <c r="H731" s="18">
        <v>68</v>
      </c>
      <c r="I731" s="18">
        <v>68</v>
      </c>
    </row>
    <row r="732" spans="1:10" x14ac:dyDescent="0.25">
      <c r="A732" s="48">
        <v>715</v>
      </c>
      <c r="B732" s="80" t="s">
        <v>487</v>
      </c>
      <c r="C732" s="23" t="s">
        <v>488</v>
      </c>
      <c r="D732" s="23" t="s">
        <v>157</v>
      </c>
      <c r="E732" s="23" t="s">
        <v>489</v>
      </c>
      <c r="F732" s="22"/>
      <c r="G732" s="18">
        <f>G733</f>
        <v>1405.3</v>
      </c>
      <c r="H732" s="18">
        <f t="shared" ref="H732:I733" si="315">H733</f>
        <v>0</v>
      </c>
      <c r="I732" s="18">
        <f t="shared" si="315"/>
        <v>0</v>
      </c>
    </row>
    <row r="733" spans="1:10" ht="30" x14ac:dyDescent="0.25">
      <c r="A733" s="22">
        <v>716</v>
      </c>
      <c r="B733" s="81" t="s">
        <v>58</v>
      </c>
      <c r="C733" s="23" t="s">
        <v>488</v>
      </c>
      <c r="D733" s="23" t="s">
        <v>157</v>
      </c>
      <c r="E733" s="23" t="s">
        <v>489</v>
      </c>
      <c r="F733" s="22">
        <v>600</v>
      </c>
      <c r="G733" s="18">
        <f>G734</f>
        <v>1405.3</v>
      </c>
      <c r="H733" s="18">
        <f t="shared" si="315"/>
        <v>0</v>
      </c>
      <c r="I733" s="18">
        <f t="shared" si="315"/>
        <v>0</v>
      </c>
    </row>
    <row r="734" spans="1:10" x14ac:dyDescent="0.25">
      <c r="A734" s="48">
        <v>717</v>
      </c>
      <c r="B734" s="81" t="s">
        <v>78</v>
      </c>
      <c r="C734" s="23" t="s">
        <v>488</v>
      </c>
      <c r="D734" s="23" t="s">
        <v>157</v>
      </c>
      <c r="E734" s="23" t="s">
        <v>489</v>
      </c>
      <c r="F734" s="22">
        <v>610</v>
      </c>
      <c r="G734" s="18">
        <f>1900-494.7</f>
        <v>1405.3</v>
      </c>
      <c r="H734" s="18">
        <v>0</v>
      </c>
      <c r="I734" s="18">
        <v>0</v>
      </c>
    </row>
    <row r="735" spans="1:10" x14ac:dyDescent="0.25">
      <c r="A735" s="22">
        <v>718</v>
      </c>
      <c r="B735" s="81" t="s">
        <v>103</v>
      </c>
      <c r="C735" s="23">
        <v>953</v>
      </c>
      <c r="D735" s="23" t="s">
        <v>158</v>
      </c>
      <c r="E735" s="22"/>
      <c r="F735" s="111"/>
      <c r="G735" s="18">
        <f>G736</f>
        <v>206.9</v>
      </c>
      <c r="H735" s="30">
        <f t="shared" ref="H735:I736" si="316">H736</f>
        <v>206.9</v>
      </c>
      <c r="I735" s="30">
        <f t="shared" si="316"/>
        <v>206.9</v>
      </c>
    </row>
    <row r="736" spans="1:10" ht="30" x14ac:dyDescent="0.25">
      <c r="A736" s="48">
        <v>719</v>
      </c>
      <c r="B736" s="34" t="s">
        <v>95</v>
      </c>
      <c r="C736" s="23">
        <v>953</v>
      </c>
      <c r="D736" s="23" t="s">
        <v>158</v>
      </c>
      <c r="E736" s="23" t="s">
        <v>278</v>
      </c>
      <c r="F736" s="111"/>
      <c r="G736" s="30">
        <f>G737</f>
        <v>206.9</v>
      </c>
      <c r="H736" s="30">
        <f t="shared" si="316"/>
        <v>206.9</v>
      </c>
      <c r="I736" s="30">
        <f t="shared" si="316"/>
        <v>206.9</v>
      </c>
    </row>
    <row r="737" spans="1:9" x14ac:dyDescent="0.25">
      <c r="A737" s="22">
        <v>720</v>
      </c>
      <c r="B737" s="116" t="s">
        <v>104</v>
      </c>
      <c r="C737" s="23">
        <v>953</v>
      </c>
      <c r="D737" s="23" t="s">
        <v>158</v>
      </c>
      <c r="E737" s="23" t="s">
        <v>284</v>
      </c>
      <c r="F737" s="111"/>
      <c r="G737" s="18">
        <f>G738</f>
        <v>206.9</v>
      </c>
      <c r="H737" s="18">
        <f t="shared" ref="H737:I737" si="317">H738</f>
        <v>206.9</v>
      </c>
      <c r="I737" s="18">
        <f t="shared" si="317"/>
        <v>206.9</v>
      </c>
    </row>
    <row r="738" spans="1:9" ht="45" x14ac:dyDescent="0.25">
      <c r="A738" s="48">
        <v>721</v>
      </c>
      <c r="B738" s="116" t="s">
        <v>105</v>
      </c>
      <c r="C738" s="23">
        <v>953</v>
      </c>
      <c r="D738" s="23" t="s">
        <v>158</v>
      </c>
      <c r="E738" s="23" t="s">
        <v>285</v>
      </c>
      <c r="F738" s="111"/>
      <c r="G738" s="18">
        <f>G739+G741</f>
        <v>206.9</v>
      </c>
      <c r="H738" s="18">
        <f t="shared" ref="H738:I738" si="318">H739+H741</f>
        <v>206.9</v>
      </c>
      <c r="I738" s="18">
        <f t="shared" si="318"/>
        <v>206.9</v>
      </c>
    </row>
    <row r="739" spans="1:9" ht="45" x14ac:dyDescent="0.25">
      <c r="A739" s="22">
        <v>722</v>
      </c>
      <c r="B739" s="81" t="s">
        <v>17</v>
      </c>
      <c r="C739" s="23">
        <v>953</v>
      </c>
      <c r="D739" s="23" t="s">
        <v>158</v>
      </c>
      <c r="E739" s="23" t="s">
        <v>285</v>
      </c>
      <c r="F739" s="111">
        <v>100</v>
      </c>
      <c r="G739" s="18">
        <f>G740</f>
        <v>16</v>
      </c>
      <c r="H739" s="18">
        <f t="shared" ref="H739:I739" si="319">H740</f>
        <v>16</v>
      </c>
      <c r="I739" s="18">
        <f t="shared" si="319"/>
        <v>16</v>
      </c>
    </row>
    <row r="740" spans="1:9" x14ac:dyDescent="0.25">
      <c r="A740" s="48">
        <v>723</v>
      </c>
      <c r="B740" s="81" t="s">
        <v>18</v>
      </c>
      <c r="C740" s="23">
        <v>953</v>
      </c>
      <c r="D740" s="23" t="s">
        <v>158</v>
      </c>
      <c r="E740" s="23" t="s">
        <v>285</v>
      </c>
      <c r="F740" s="111">
        <v>110</v>
      </c>
      <c r="G740" s="18">
        <v>16</v>
      </c>
      <c r="H740" s="18">
        <v>16</v>
      </c>
      <c r="I740" s="18">
        <v>16</v>
      </c>
    </row>
    <row r="741" spans="1:9" x14ac:dyDescent="0.25">
      <c r="A741" s="22">
        <v>724</v>
      </c>
      <c r="B741" s="81" t="s">
        <v>23</v>
      </c>
      <c r="C741" s="23">
        <v>953</v>
      </c>
      <c r="D741" s="23" t="s">
        <v>158</v>
      </c>
      <c r="E741" s="23" t="s">
        <v>285</v>
      </c>
      <c r="F741" s="111">
        <v>200</v>
      </c>
      <c r="G741" s="18">
        <f>G742</f>
        <v>190.9</v>
      </c>
      <c r="H741" s="18">
        <f t="shared" ref="H741:I741" si="320">H742</f>
        <v>190.9</v>
      </c>
      <c r="I741" s="18">
        <f t="shared" si="320"/>
        <v>190.9</v>
      </c>
    </row>
    <row r="742" spans="1:9" x14ac:dyDescent="0.25">
      <c r="A742" s="48">
        <v>725</v>
      </c>
      <c r="B742" s="81" t="s">
        <v>24</v>
      </c>
      <c r="C742" s="23">
        <v>953</v>
      </c>
      <c r="D742" s="23" t="s">
        <v>158</v>
      </c>
      <c r="E742" s="23" t="s">
        <v>285</v>
      </c>
      <c r="F742" s="111">
        <v>240</v>
      </c>
      <c r="G742" s="18">
        <v>190.9</v>
      </c>
      <c r="H742" s="18">
        <v>190.9</v>
      </c>
      <c r="I742" s="18">
        <v>190.9</v>
      </c>
    </row>
    <row r="743" spans="1:9" x14ac:dyDescent="0.25">
      <c r="A743" s="22">
        <v>726</v>
      </c>
      <c r="B743" s="34" t="s">
        <v>106</v>
      </c>
      <c r="C743" s="23">
        <v>953</v>
      </c>
      <c r="D743" s="23" t="s">
        <v>159</v>
      </c>
      <c r="E743" s="22"/>
      <c r="F743" s="111"/>
      <c r="G743" s="30">
        <f>G744</f>
        <v>9921.18</v>
      </c>
      <c r="H743" s="30">
        <f t="shared" ref="H743:I743" si="321">H744</f>
        <v>10273.91</v>
      </c>
      <c r="I743" s="30">
        <f t="shared" si="321"/>
        <v>10273.91</v>
      </c>
    </row>
    <row r="744" spans="1:9" ht="30" x14ac:dyDescent="0.25">
      <c r="A744" s="48">
        <v>727</v>
      </c>
      <c r="B744" s="34" t="s">
        <v>95</v>
      </c>
      <c r="C744" s="23">
        <v>953</v>
      </c>
      <c r="D744" s="23" t="s">
        <v>159</v>
      </c>
      <c r="E744" s="23" t="s">
        <v>278</v>
      </c>
      <c r="F744" s="111"/>
      <c r="G744" s="30">
        <f>G764+G745+G757</f>
        <v>9921.18</v>
      </c>
      <c r="H744" s="30">
        <f>H764+H745+H757</f>
        <v>10273.91</v>
      </c>
      <c r="I744" s="30">
        <f>I764+I745+I757</f>
        <v>10273.91</v>
      </c>
    </row>
    <row r="745" spans="1:9" ht="30" x14ac:dyDescent="0.25">
      <c r="A745" s="22">
        <v>728</v>
      </c>
      <c r="B745" s="112" t="s">
        <v>110</v>
      </c>
      <c r="C745" s="23">
        <v>953</v>
      </c>
      <c r="D745" s="23" t="s">
        <v>159</v>
      </c>
      <c r="E745" s="23" t="s">
        <v>286</v>
      </c>
      <c r="F745" s="111"/>
      <c r="G745" s="30">
        <f>G746+G751</f>
        <v>1020.5999999999999</v>
      </c>
      <c r="H745" s="30">
        <f>H746+H751</f>
        <v>1361.8</v>
      </c>
      <c r="I745" s="30">
        <f>I746+I751</f>
        <v>1361.8</v>
      </c>
    </row>
    <row r="746" spans="1:9" ht="30" x14ac:dyDescent="0.25">
      <c r="A746" s="48">
        <v>729</v>
      </c>
      <c r="B746" s="116" t="s">
        <v>191</v>
      </c>
      <c r="C746" s="23">
        <v>953</v>
      </c>
      <c r="D746" s="23" t="s">
        <v>159</v>
      </c>
      <c r="E746" s="23" t="s">
        <v>287</v>
      </c>
      <c r="F746" s="111"/>
      <c r="G746" s="18">
        <f>G749+G747</f>
        <v>704.4</v>
      </c>
      <c r="H746" s="18">
        <f t="shared" ref="H746:I746" si="322">H749+H747</f>
        <v>740</v>
      </c>
      <c r="I746" s="18">
        <f t="shared" si="322"/>
        <v>740</v>
      </c>
    </row>
    <row r="747" spans="1:9" x14ac:dyDescent="0.25">
      <c r="A747" s="22">
        <v>730</v>
      </c>
      <c r="B747" s="81" t="s">
        <v>23</v>
      </c>
      <c r="C747" s="23">
        <v>953</v>
      </c>
      <c r="D747" s="23" t="s">
        <v>159</v>
      </c>
      <c r="E747" s="23" t="s">
        <v>287</v>
      </c>
      <c r="F747" s="111">
        <v>200</v>
      </c>
      <c r="G747" s="18">
        <f>G748</f>
        <v>7.4</v>
      </c>
      <c r="H747" s="18">
        <f t="shared" ref="H747:I747" si="323">H748</f>
        <v>7.4</v>
      </c>
      <c r="I747" s="18">
        <f t="shared" si="323"/>
        <v>7.4</v>
      </c>
    </row>
    <row r="748" spans="1:9" x14ac:dyDescent="0.25">
      <c r="A748" s="48">
        <v>731</v>
      </c>
      <c r="B748" s="81" t="s">
        <v>24</v>
      </c>
      <c r="C748" s="23">
        <v>953</v>
      </c>
      <c r="D748" s="23" t="s">
        <v>159</v>
      </c>
      <c r="E748" s="23" t="s">
        <v>287</v>
      </c>
      <c r="F748" s="111">
        <v>240</v>
      </c>
      <c r="G748" s="18">
        <v>7.4</v>
      </c>
      <c r="H748" s="18">
        <v>7.4</v>
      </c>
      <c r="I748" s="18">
        <v>7.4</v>
      </c>
    </row>
    <row r="749" spans="1:9" x14ac:dyDescent="0.25">
      <c r="A749" s="22">
        <v>732</v>
      </c>
      <c r="B749" s="81" t="s">
        <v>98</v>
      </c>
      <c r="C749" s="23">
        <v>953</v>
      </c>
      <c r="D749" s="23" t="s">
        <v>159</v>
      </c>
      <c r="E749" s="23" t="s">
        <v>287</v>
      </c>
      <c r="F749" s="111">
        <v>300</v>
      </c>
      <c r="G749" s="18">
        <f>G750</f>
        <v>697</v>
      </c>
      <c r="H749" s="18">
        <f t="shared" ref="H749:I749" si="324">H750</f>
        <v>732.6</v>
      </c>
      <c r="I749" s="18">
        <f t="shared" si="324"/>
        <v>732.6</v>
      </c>
    </row>
    <row r="750" spans="1:9" x14ac:dyDescent="0.25">
      <c r="A750" s="48">
        <v>733</v>
      </c>
      <c r="B750" s="116" t="s">
        <v>99</v>
      </c>
      <c r="C750" s="23">
        <v>953</v>
      </c>
      <c r="D750" s="23" t="s">
        <v>159</v>
      </c>
      <c r="E750" s="23" t="s">
        <v>287</v>
      </c>
      <c r="F750" s="111">
        <v>310</v>
      </c>
      <c r="G750" s="18">
        <f>732.6-35.6</f>
        <v>697</v>
      </c>
      <c r="H750" s="18">
        <v>732.6</v>
      </c>
      <c r="I750" s="18">
        <v>732.6</v>
      </c>
    </row>
    <row r="751" spans="1:9" ht="45" x14ac:dyDescent="0.25">
      <c r="A751" s="22">
        <v>734</v>
      </c>
      <c r="B751" s="34" t="s">
        <v>193</v>
      </c>
      <c r="C751" s="23">
        <v>953</v>
      </c>
      <c r="D751" s="23" t="s">
        <v>159</v>
      </c>
      <c r="E751" s="23" t="s">
        <v>288</v>
      </c>
      <c r="F751" s="111"/>
      <c r="G751" s="18">
        <f>G752+G754</f>
        <v>316.2</v>
      </c>
      <c r="H751" s="18">
        <f t="shared" ref="H751:I751" si="325">H752+H754</f>
        <v>621.79999999999995</v>
      </c>
      <c r="I751" s="18">
        <f t="shared" si="325"/>
        <v>621.79999999999995</v>
      </c>
    </row>
    <row r="752" spans="1:9" x14ac:dyDescent="0.25">
      <c r="A752" s="48">
        <v>735</v>
      </c>
      <c r="B752" s="81" t="s">
        <v>23</v>
      </c>
      <c r="C752" s="23">
        <v>953</v>
      </c>
      <c r="D752" s="23" t="s">
        <v>159</v>
      </c>
      <c r="E752" s="23" t="s">
        <v>288</v>
      </c>
      <c r="F752" s="111">
        <v>200</v>
      </c>
      <c r="G752" s="18">
        <f>G753</f>
        <v>7</v>
      </c>
      <c r="H752" s="18">
        <f t="shared" ref="H752:I752" si="326">H753</f>
        <v>7</v>
      </c>
      <c r="I752" s="18">
        <f t="shared" si="326"/>
        <v>7</v>
      </c>
    </row>
    <row r="753" spans="1:9" x14ac:dyDescent="0.25">
      <c r="A753" s="22">
        <v>736</v>
      </c>
      <c r="B753" s="81" t="s">
        <v>24</v>
      </c>
      <c r="C753" s="23">
        <v>953</v>
      </c>
      <c r="D753" s="23" t="s">
        <v>159</v>
      </c>
      <c r="E753" s="23" t="s">
        <v>288</v>
      </c>
      <c r="F753" s="111">
        <v>240</v>
      </c>
      <c r="G753" s="18">
        <v>7</v>
      </c>
      <c r="H753" s="18">
        <v>7</v>
      </c>
      <c r="I753" s="18">
        <v>7</v>
      </c>
    </row>
    <row r="754" spans="1:9" x14ac:dyDescent="0.25">
      <c r="A754" s="48">
        <v>737</v>
      </c>
      <c r="B754" s="81" t="s">
        <v>98</v>
      </c>
      <c r="C754" s="23">
        <v>953</v>
      </c>
      <c r="D754" s="23" t="s">
        <v>159</v>
      </c>
      <c r="E754" s="23" t="s">
        <v>288</v>
      </c>
      <c r="F754" s="111">
        <v>300</v>
      </c>
      <c r="G754" s="18">
        <f>G755+G756</f>
        <v>309.2</v>
      </c>
      <c r="H754" s="18">
        <f>H755+H756</f>
        <v>614.79999999999995</v>
      </c>
      <c r="I754" s="18">
        <f>I755+I756</f>
        <v>614.79999999999995</v>
      </c>
    </row>
    <row r="755" spans="1:9" x14ac:dyDescent="0.25">
      <c r="A755" s="22">
        <v>738</v>
      </c>
      <c r="B755" s="116" t="s">
        <v>99</v>
      </c>
      <c r="C755" s="23">
        <v>953</v>
      </c>
      <c r="D755" s="23" t="s">
        <v>159</v>
      </c>
      <c r="E755" s="23" t="s">
        <v>288</v>
      </c>
      <c r="F755" s="111">
        <v>310</v>
      </c>
      <c r="G755" s="18">
        <v>82.8</v>
      </c>
      <c r="H755" s="18">
        <v>82.8</v>
      </c>
      <c r="I755" s="18">
        <v>82.8</v>
      </c>
    </row>
    <row r="756" spans="1:9" x14ac:dyDescent="0.25">
      <c r="A756" s="48">
        <v>739</v>
      </c>
      <c r="B756" s="81" t="s">
        <v>111</v>
      </c>
      <c r="C756" s="23">
        <v>953</v>
      </c>
      <c r="D756" s="23" t="s">
        <v>159</v>
      </c>
      <c r="E756" s="23" t="s">
        <v>288</v>
      </c>
      <c r="F756" s="111">
        <v>320</v>
      </c>
      <c r="G756" s="18">
        <f>532-305.6</f>
        <v>226.39999999999998</v>
      </c>
      <c r="H756" s="18">
        <v>532</v>
      </c>
      <c r="I756" s="18">
        <v>532</v>
      </c>
    </row>
    <row r="757" spans="1:9" x14ac:dyDescent="0.25">
      <c r="A757" s="22">
        <v>740</v>
      </c>
      <c r="B757" s="116" t="s">
        <v>104</v>
      </c>
      <c r="C757" s="23">
        <v>953</v>
      </c>
      <c r="D757" s="23" t="s">
        <v>159</v>
      </c>
      <c r="E757" s="23" t="s">
        <v>284</v>
      </c>
      <c r="F757" s="111"/>
      <c r="G757" s="18">
        <f>G758</f>
        <v>0.45</v>
      </c>
      <c r="H757" s="18">
        <f t="shared" ref="H757:I757" si="327">H758</f>
        <v>825.45</v>
      </c>
      <c r="I757" s="18">
        <f t="shared" si="327"/>
        <v>825.45</v>
      </c>
    </row>
    <row r="758" spans="1:9" x14ac:dyDescent="0.25">
      <c r="A758" s="48">
        <v>741</v>
      </c>
      <c r="B758" s="42" t="s">
        <v>194</v>
      </c>
      <c r="C758" s="23">
        <v>953</v>
      </c>
      <c r="D758" s="23" t="s">
        <v>159</v>
      </c>
      <c r="E758" s="23" t="s">
        <v>289</v>
      </c>
      <c r="F758" s="111"/>
      <c r="G758" s="18">
        <f>G761+G759</f>
        <v>0.45</v>
      </c>
      <c r="H758" s="18">
        <f t="shared" ref="H758:I758" si="328">H761+H759</f>
        <v>825.45</v>
      </c>
      <c r="I758" s="18">
        <f t="shared" si="328"/>
        <v>825.45</v>
      </c>
    </row>
    <row r="759" spans="1:9" x14ac:dyDescent="0.25">
      <c r="A759" s="22">
        <v>742</v>
      </c>
      <c r="B759" s="81" t="s">
        <v>23</v>
      </c>
      <c r="C759" s="23">
        <v>953</v>
      </c>
      <c r="D759" s="23" t="s">
        <v>159</v>
      </c>
      <c r="E759" s="23" t="s">
        <v>289</v>
      </c>
      <c r="F759" s="111">
        <v>200</v>
      </c>
      <c r="G759" s="18">
        <f>G760</f>
        <v>0.45</v>
      </c>
      <c r="H759" s="18">
        <f t="shared" ref="H759:I759" si="329">H760</f>
        <v>0.45</v>
      </c>
      <c r="I759" s="18">
        <f t="shared" si="329"/>
        <v>0.45</v>
      </c>
    </row>
    <row r="760" spans="1:9" x14ac:dyDescent="0.25">
      <c r="A760" s="48">
        <v>743</v>
      </c>
      <c r="B760" s="81" t="s">
        <v>24</v>
      </c>
      <c r="C760" s="23">
        <v>953</v>
      </c>
      <c r="D760" s="23" t="s">
        <v>159</v>
      </c>
      <c r="E760" s="23" t="s">
        <v>289</v>
      </c>
      <c r="F760" s="111">
        <v>240</v>
      </c>
      <c r="G760" s="18">
        <v>0.45</v>
      </c>
      <c r="H760" s="18">
        <v>0.45</v>
      </c>
      <c r="I760" s="18">
        <v>0.45</v>
      </c>
    </row>
    <row r="761" spans="1:9" x14ac:dyDescent="0.25">
      <c r="A761" s="22">
        <v>744</v>
      </c>
      <c r="B761" s="81" t="s">
        <v>98</v>
      </c>
      <c r="C761" s="23">
        <v>953</v>
      </c>
      <c r="D761" s="23" t="s">
        <v>159</v>
      </c>
      <c r="E761" s="23" t="s">
        <v>289</v>
      </c>
      <c r="F761" s="111">
        <v>300</v>
      </c>
      <c r="G761" s="18">
        <f>G762+G763</f>
        <v>0</v>
      </c>
      <c r="H761" s="18">
        <f t="shared" ref="H761:I761" si="330">H762+H763</f>
        <v>825</v>
      </c>
      <c r="I761" s="18">
        <f t="shared" si="330"/>
        <v>825</v>
      </c>
    </row>
    <row r="762" spans="1:9" x14ac:dyDescent="0.25">
      <c r="A762" s="48">
        <v>745</v>
      </c>
      <c r="B762" s="116" t="s">
        <v>99</v>
      </c>
      <c r="C762" s="23">
        <v>953</v>
      </c>
      <c r="D762" s="23" t="s">
        <v>159</v>
      </c>
      <c r="E762" s="23" t="s">
        <v>289</v>
      </c>
      <c r="F762" s="111">
        <v>310</v>
      </c>
      <c r="G762" s="18">
        <f>75-75</f>
        <v>0</v>
      </c>
      <c r="H762" s="18">
        <v>75</v>
      </c>
      <c r="I762" s="18">
        <v>75</v>
      </c>
    </row>
    <row r="763" spans="1:9" ht="30" x14ac:dyDescent="0.25">
      <c r="A763" s="22">
        <v>746</v>
      </c>
      <c r="B763" s="81" t="s">
        <v>203</v>
      </c>
      <c r="C763" s="23">
        <v>953</v>
      </c>
      <c r="D763" s="23" t="s">
        <v>159</v>
      </c>
      <c r="E763" s="23" t="s">
        <v>289</v>
      </c>
      <c r="F763" s="111">
        <v>320</v>
      </c>
      <c r="G763" s="18">
        <f>750-750</f>
        <v>0</v>
      </c>
      <c r="H763" s="18">
        <v>750</v>
      </c>
      <c r="I763" s="18">
        <v>750</v>
      </c>
    </row>
    <row r="764" spans="1:9" x14ac:dyDescent="0.25">
      <c r="A764" s="48">
        <v>747</v>
      </c>
      <c r="B764" s="116" t="s">
        <v>96</v>
      </c>
      <c r="C764" s="23">
        <v>953</v>
      </c>
      <c r="D764" s="23" t="s">
        <v>159</v>
      </c>
      <c r="E764" s="23" t="s">
        <v>279</v>
      </c>
      <c r="F764" s="111"/>
      <c r="G764" s="18">
        <f>G773+G765+G770</f>
        <v>8900.1299999999992</v>
      </c>
      <c r="H764" s="18">
        <f t="shared" ref="H764:I764" si="331">H773+H765+H770</f>
        <v>8086.66</v>
      </c>
      <c r="I764" s="18">
        <f t="shared" si="331"/>
        <v>8086.66</v>
      </c>
    </row>
    <row r="765" spans="1:9" x14ac:dyDescent="0.25">
      <c r="A765" s="22">
        <v>748</v>
      </c>
      <c r="B765" s="117" t="s">
        <v>109</v>
      </c>
      <c r="C765" s="23">
        <v>953</v>
      </c>
      <c r="D765" s="23" t="s">
        <v>159</v>
      </c>
      <c r="E765" s="23" t="s">
        <v>290</v>
      </c>
      <c r="F765" s="111"/>
      <c r="G765" s="18">
        <f>G766+G768</f>
        <v>1069.6500000000001</v>
      </c>
      <c r="H765" s="18">
        <f>H766+H768</f>
        <v>993.16</v>
      </c>
      <c r="I765" s="18">
        <f>I766+I768</f>
        <v>993.16</v>
      </c>
    </row>
    <row r="766" spans="1:9" ht="45" x14ac:dyDescent="0.25">
      <c r="A766" s="48">
        <v>749</v>
      </c>
      <c r="B766" s="81" t="s">
        <v>17</v>
      </c>
      <c r="C766" s="23">
        <v>953</v>
      </c>
      <c r="D766" s="23" t="s">
        <v>159</v>
      </c>
      <c r="E766" s="23" t="s">
        <v>290</v>
      </c>
      <c r="F766" s="111">
        <v>100</v>
      </c>
      <c r="G766" s="18">
        <f>G767</f>
        <v>979.65</v>
      </c>
      <c r="H766" s="18">
        <f t="shared" ref="H766:I766" si="332">H767</f>
        <v>903.16</v>
      </c>
      <c r="I766" s="18">
        <f t="shared" si="332"/>
        <v>903.16</v>
      </c>
    </row>
    <row r="767" spans="1:9" x14ac:dyDescent="0.25">
      <c r="A767" s="22">
        <v>750</v>
      </c>
      <c r="B767" s="81" t="s">
        <v>18</v>
      </c>
      <c r="C767" s="23">
        <v>953</v>
      </c>
      <c r="D767" s="23" t="s">
        <v>159</v>
      </c>
      <c r="E767" s="23" t="s">
        <v>290</v>
      </c>
      <c r="F767" s="111">
        <v>120</v>
      </c>
      <c r="G767" s="18">
        <f>903.16+76.49</f>
        <v>979.65</v>
      </c>
      <c r="H767" s="18">
        <v>903.16</v>
      </c>
      <c r="I767" s="18">
        <v>903.16</v>
      </c>
    </row>
    <row r="768" spans="1:9" x14ac:dyDescent="0.25">
      <c r="A768" s="48">
        <v>751</v>
      </c>
      <c r="B768" s="81" t="s">
        <v>23</v>
      </c>
      <c r="C768" s="23">
        <v>953</v>
      </c>
      <c r="D768" s="23" t="s">
        <v>159</v>
      </c>
      <c r="E768" s="23" t="s">
        <v>290</v>
      </c>
      <c r="F768" s="111">
        <v>200</v>
      </c>
      <c r="G768" s="18">
        <f>G769</f>
        <v>90</v>
      </c>
      <c r="H768" s="18">
        <f t="shared" ref="H768:I768" si="333">H769</f>
        <v>90</v>
      </c>
      <c r="I768" s="18">
        <f t="shared" si="333"/>
        <v>90</v>
      </c>
    </row>
    <row r="769" spans="1:10" x14ac:dyDescent="0.25">
      <c r="A769" s="22">
        <v>752</v>
      </c>
      <c r="B769" s="81" t="s">
        <v>24</v>
      </c>
      <c r="C769" s="23">
        <v>953</v>
      </c>
      <c r="D769" s="23" t="s">
        <v>159</v>
      </c>
      <c r="E769" s="23" t="s">
        <v>290</v>
      </c>
      <c r="F769" s="111">
        <v>240</v>
      </c>
      <c r="G769" s="18">
        <v>90</v>
      </c>
      <c r="H769" s="18">
        <v>90</v>
      </c>
      <c r="I769" s="18">
        <v>90</v>
      </c>
    </row>
    <row r="770" spans="1:10" ht="60" x14ac:dyDescent="0.25">
      <c r="A770" s="48">
        <v>753</v>
      </c>
      <c r="B770" s="118" t="s">
        <v>556</v>
      </c>
      <c r="C770" s="23" t="s">
        <v>488</v>
      </c>
      <c r="D770" s="23" t="s">
        <v>159</v>
      </c>
      <c r="E770" s="23" t="s">
        <v>550</v>
      </c>
      <c r="F770" s="111"/>
      <c r="G770" s="18">
        <f>G771</f>
        <v>9.73</v>
      </c>
      <c r="H770" s="18">
        <f t="shared" ref="H770:I771" si="334">H771</f>
        <v>0</v>
      </c>
      <c r="I770" s="18">
        <f t="shared" si="334"/>
        <v>0</v>
      </c>
    </row>
    <row r="771" spans="1:10" ht="45" x14ac:dyDescent="0.25">
      <c r="A771" s="22">
        <v>754</v>
      </c>
      <c r="B771" s="81" t="s">
        <v>17</v>
      </c>
      <c r="C771" s="23" t="s">
        <v>488</v>
      </c>
      <c r="D771" s="23" t="s">
        <v>159</v>
      </c>
      <c r="E771" s="23" t="s">
        <v>550</v>
      </c>
      <c r="F771" s="111">
        <v>100</v>
      </c>
      <c r="G771" s="18">
        <f>G772</f>
        <v>9.73</v>
      </c>
      <c r="H771" s="18">
        <f t="shared" si="334"/>
        <v>0</v>
      </c>
      <c r="I771" s="18">
        <f t="shared" si="334"/>
        <v>0</v>
      </c>
    </row>
    <row r="772" spans="1:10" x14ac:dyDescent="0.25">
      <c r="A772" s="48">
        <v>755</v>
      </c>
      <c r="B772" s="81" t="s">
        <v>18</v>
      </c>
      <c r="C772" s="23" t="s">
        <v>488</v>
      </c>
      <c r="D772" s="23" t="s">
        <v>159</v>
      </c>
      <c r="E772" s="23" t="s">
        <v>550</v>
      </c>
      <c r="F772" s="111">
        <v>110</v>
      </c>
      <c r="G772" s="18">
        <v>9.73</v>
      </c>
      <c r="H772" s="18">
        <v>0</v>
      </c>
      <c r="I772" s="18">
        <v>0</v>
      </c>
    </row>
    <row r="773" spans="1:10" ht="30" x14ac:dyDescent="0.25">
      <c r="A773" s="22">
        <v>756</v>
      </c>
      <c r="B773" s="112" t="s">
        <v>107</v>
      </c>
      <c r="C773" s="23">
        <v>953</v>
      </c>
      <c r="D773" s="23" t="s">
        <v>159</v>
      </c>
      <c r="E773" s="23" t="s">
        <v>291</v>
      </c>
      <c r="F773" s="111"/>
      <c r="G773" s="18">
        <f>G774+G776+G778</f>
        <v>7820.75</v>
      </c>
      <c r="H773" s="18">
        <f>H774+H776+H778</f>
        <v>7093.5</v>
      </c>
      <c r="I773" s="18">
        <f>I774+I776+I778</f>
        <v>7093.5</v>
      </c>
    </row>
    <row r="774" spans="1:10" ht="45" x14ac:dyDescent="0.25">
      <c r="A774" s="48">
        <v>757</v>
      </c>
      <c r="B774" s="81" t="s">
        <v>17</v>
      </c>
      <c r="C774" s="23">
        <v>953</v>
      </c>
      <c r="D774" s="23" t="s">
        <v>159</v>
      </c>
      <c r="E774" s="23" t="s">
        <v>291</v>
      </c>
      <c r="F774" s="111">
        <v>100</v>
      </c>
      <c r="G774" s="18">
        <f>G775</f>
        <v>7372.01</v>
      </c>
      <c r="H774" s="18">
        <f t="shared" ref="H774:I774" si="335">H775</f>
        <v>6670.5</v>
      </c>
      <c r="I774" s="18">
        <f t="shared" si="335"/>
        <v>6670.5</v>
      </c>
    </row>
    <row r="775" spans="1:10" x14ac:dyDescent="0.25">
      <c r="A775" s="22">
        <v>758</v>
      </c>
      <c r="B775" s="81" t="s">
        <v>18</v>
      </c>
      <c r="C775" s="23">
        <v>953</v>
      </c>
      <c r="D775" s="23" t="s">
        <v>159</v>
      </c>
      <c r="E775" s="23" t="s">
        <v>291</v>
      </c>
      <c r="F775" s="111">
        <v>120</v>
      </c>
      <c r="G775" s="18">
        <f>6670.5+77.31+624.2</f>
        <v>7372.01</v>
      </c>
      <c r="H775" s="18">
        <v>6670.5</v>
      </c>
      <c r="I775" s="18">
        <v>6670.5</v>
      </c>
      <c r="J775" s="73">
        <v>624.20000000000005</v>
      </c>
    </row>
    <row r="776" spans="1:10" x14ac:dyDescent="0.25">
      <c r="A776" s="48">
        <v>759</v>
      </c>
      <c r="B776" s="81" t="s">
        <v>23</v>
      </c>
      <c r="C776" s="23">
        <v>953</v>
      </c>
      <c r="D776" s="23" t="s">
        <v>159</v>
      </c>
      <c r="E776" s="23" t="s">
        <v>291</v>
      </c>
      <c r="F776" s="111">
        <v>200</v>
      </c>
      <c r="G776" s="18">
        <f>G777</f>
        <v>432.62</v>
      </c>
      <c r="H776" s="18">
        <f t="shared" ref="H776:I776" si="336">H777</f>
        <v>420</v>
      </c>
      <c r="I776" s="18">
        <f t="shared" si="336"/>
        <v>420</v>
      </c>
    </row>
    <row r="777" spans="1:10" x14ac:dyDescent="0.25">
      <c r="A777" s="22">
        <v>760</v>
      </c>
      <c r="B777" s="81" t="s">
        <v>24</v>
      </c>
      <c r="C777" s="23">
        <v>953</v>
      </c>
      <c r="D777" s="23" t="s">
        <v>159</v>
      </c>
      <c r="E777" s="23" t="s">
        <v>291</v>
      </c>
      <c r="F777" s="111">
        <v>240</v>
      </c>
      <c r="G777" s="18">
        <f>420+2.62+10</f>
        <v>432.62</v>
      </c>
      <c r="H777" s="18">
        <v>420</v>
      </c>
      <c r="I777" s="18">
        <v>420</v>
      </c>
      <c r="J777" s="73">
        <v>10</v>
      </c>
    </row>
    <row r="778" spans="1:10" x14ac:dyDescent="0.25">
      <c r="A778" s="48">
        <v>761</v>
      </c>
      <c r="B778" s="81" t="s">
        <v>38</v>
      </c>
      <c r="C778" s="23">
        <v>953</v>
      </c>
      <c r="D778" s="23" t="s">
        <v>159</v>
      </c>
      <c r="E778" s="23" t="s">
        <v>291</v>
      </c>
      <c r="F778" s="111">
        <v>800</v>
      </c>
      <c r="G778" s="18">
        <f>G779</f>
        <v>16.119999999999997</v>
      </c>
      <c r="H778" s="18">
        <f t="shared" ref="H778:I778" si="337">H779</f>
        <v>3</v>
      </c>
      <c r="I778" s="18">
        <f t="shared" si="337"/>
        <v>3</v>
      </c>
    </row>
    <row r="779" spans="1:10" x14ac:dyDescent="0.25">
      <c r="A779" s="22">
        <v>762</v>
      </c>
      <c r="B779" s="81" t="s">
        <v>108</v>
      </c>
      <c r="C779" s="23">
        <v>953</v>
      </c>
      <c r="D779" s="23" t="s">
        <v>159</v>
      </c>
      <c r="E779" s="23" t="s">
        <v>291</v>
      </c>
      <c r="F779" s="111">
        <v>850</v>
      </c>
      <c r="G779" s="18">
        <f>3+13.12</f>
        <v>16.119999999999997</v>
      </c>
      <c r="H779" s="18">
        <v>3</v>
      </c>
      <c r="I779" s="18">
        <v>3</v>
      </c>
    </row>
    <row r="780" spans="1:10" ht="30" customHeight="1" x14ac:dyDescent="0.25">
      <c r="A780" s="48">
        <v>763</v>
      </c>
      <c r="B780" s="54" t="s">
        <v>316</v>
      </c>
      <c r="C780" s="50">
        <v>955</v>
      </c>
      <c r="D780" s="46"/>
      <c r="E780" s="46"/>
      <c r="F780" s="46"/>
      <c r="G780" s="47">
        <f>G781</f>
        <v>1741.4899999999998</v>
      </c>
      <c r="H780" s="47">
        <f t="shared" ref="H780:I780" si="338">H781</f>
        <v>1734.1899999999998</v>
      </c>
      <c r="I780" s="47">
        <f t="shared" si="338"/>
        <v>1734.1899999999998</v>
      </c>
    </row>
    <row r="781" spans="1:10" x14ac:dyDescent="0.25">
      <c r="A781" s="22">
        <v>764</v>
      </c>
      <c r="B781" s="57" t="s">
        <v>115</v>
      </c>
      <c r="C781" s="23">
        <v>955</v>
      </c>
      <c r="D781" s="23" t="s">
        <v>116</v>
      </c>
      <c r="E781" s="111"/>
      <c r="F781" s="111"/>
      <c r="G781" s="18">
        <f>G782</f>
        <v>1741.4899999999998</v>
      </c>
      <c r="H781" s="18">
        <f t="shared" ref="H781:I783" si="339">H782</f>
        <v>1734.1899999999998</v>
      </c>
      <c r="I781" s="18">
        <f t="shared" si="339"/>
        <v>1734.1899999999998</v>
      </c>
    </row>
    <row r="782" spans="1:10" ht="30" x14ac:dyDescent="0.25">
      <c r="A782" s="48">
        <v>765</v>
      </c>
      <c r="B782" s="81" t="s">
        <v>14</v>
      </c>
      <c r="C782" s="39">
        <v>955</v>
      </c>
      <c r="D782" s="39" t="s">
        <v>122</v>
      </c>
      <c r="E782" s="111"/>
      <c r="F782" s="111"/>
      <c r="G782" s="18">
        <f>G783</f>
        <v>1741.4899999999998</v>
      </c>
      <c r="H782" s="18">
        <f t="shared" si="339"/>
        <v>1734.1899999999998</v>
      </c>
      <c r="I782" s="18">
        <f t="shared" si="339"/>
        <v>1734.1899999999998</v>
      </c>
    </row>
    <row r="783" spans="1:10" x14ac:dyDescent="0.25">
      <c r="A783" s="22">
        <v>766</v>
      </c>
      <c r="B783" s="81" t="s">
        <v>373</v>
      </c>
      <c r="C783" s="39">
        <v>955</v>
      </c>
      <c r="D783" s="39" t="s">
        <v>122</v>
      </c>
      <c r="E783" s="111">
        <v>8200000000</v>
      </c>
      <c r="F783" s="111"/>
      <c r="G783" s="18">
        <f>G784</f>
        <v>1741.4899999999998</v>
      </c>
      <c r="H783" s="18">
        <f t="shared" si="339"/>
        <v>1734.1899999999998</v>
      </c>
      <c r="I783" s="18">
        <f t="shared" si="339"/>
        <v>1734.1899999999998</v>
      </c>
    </row>
    <row r="784" spans="1:10" x14ac:dyDescent="0.25">
      <c r="A784" s="48">
        <v>767</v>
      </c>
      <c r="B784" s="80" t="s">
        <v>374</v>
      </c>
      <c r="C784" s="39">
        <v>955</v>
      </c>
      <c r="D784" s="39" t="s">
        <v>122</v>
      </c>
      <c r="E784" s="111">
        <v>8210000000</v>
      </c>
      <c r="F784" s="111"/>
      <c r="G784" s="18">
        <f>G785+G792</f>
        <v>1741.4899999999998</v>
      </c>
      <c r="H784" s="18">
        <f t="shared" ref="H784:I784" si="340">H785+H792</f>
        <v>1734.1899999999998</v>
      </c>
      <c r="I784" s="18">
        <f t="shared" si="340"/>
        <v>1734.1899999999998</v>
      </c>
    </row>
    <row r="785" spans="1:9" x14ac:dyDescent="0.25">
      <c r="A785" s="22">
        <v>768</v>
      </c>
      <c r="B785" s="81" t="s">
        <v>93</v>
      </c>
      <c r="C785" s="39">
        <v>955</v>
      </c>
      <c r="D785" s="39" t="s">
        <v>122</v>
      </c>
      <c r="E785" s="111">
        <v>8210000210</v>
      </c>
      <c r="F785" s="111"/>
      <c r="G785" s="18">
        <f>G786+G788+G790</f>
        <v>1725.1899999999998</v>
      </c>
      <c r="H785" s="18">
        <f t="shared" ref="H785:I785" si="341">H786+H788</f>
        <v>1734.1899999999998</v>
      </c>
      <c r="I785" s="18">
        <f t="shared" si="341"/>
        <v>1734.1899999999998</v>
      </c>
    </row>
    <row r="786" spans="1:9" ht="45" x14ac:dyDescent="0.25">
      <c r="A786" s="48">
        <v>769</v>
      </c>
      <c r="B786" s="81" t="s">
        <v>17</v>
      </c>
      <c r="C786" s="39">
        <v>955</v>
      </c>
      <c r="D786" s="39" t="s">
        <v>122</v>
      </c>
      <c r="E786" s="111">
        <v>8210000210</v>
      </c>
      <c r="F786" s="111">
        <v>100</v>
      </c>
      <c r="G786" s="18">
        <f>G787</f>
        <v>1647.86</v>
      </c>
      <c r="H786" s="18">
        <f t="shared" ref="H786:I786" si="342">H787</f>
        <v>1638.58</v>
      </c>
      <c r="I786" s="18">
        <f t="shared" si="342"/>
        <v>1638.58</v>
      </c>
    </row>
    <row r="787" spans="1:9" x14ac:dyDescent="0.25">
      <c r="A787" s="22">
        <v>770</v>
      </c>
      <c r="B787" s="81" t="s">
        <v>18</v>
      </c>
      <c r="C787" s="39">
        <v>955</v>
      </c>
      <c r="D787" s="39" t="s">
        <v>122</v>
      </c>
      <c r="E787" s="111">
        <v>8210000210</v>
      </c>
      <c r="F787" s="111">
        <v>120</v>
      </c>
      <c r="G787" s="18">
        <f>1638.58-0.72+10</f>
        <v>1647.86</v>
      </c>
      <c r="H787" s="18">
        <v>1638.58</v>
      </c>
      <c r="I787" s="18">
        <v>1638.58</v>
      </c>
    </row>
    <row r="788" spans="1:9" x14ac:dyDescent="0.25">
      <c r="A788" s="48">
        <v>771</v>
      </c>
      <c r="B788" s="81" t="s">
        <v>23</v>
      </c>
      <c r="C788" s="39">
        <v>955</v>
      </c>
      <c r="D788" s="39" t="s">
        <v>122</v>
      </c>
      <c r="E788" s="111">
        <v>8210000210</v>
      </c>
      <c r="F788" s="111">
        <v>200</v>
      </c>
      <c r="G788" s="18">
        <f>G789</f>
        <v>76.61</v>
      </c>
      <c r="H788" s="18">
        <f t="shared" ref="H788:I788" si="343">H789</f>
        <v>95.61</v>
      </c>
      <c r="I788" s="18">
        <f t="shared" si="343"/>
        <v>95.61</v>
      </c>
    </row>
    <row r="789" spans="1:9" x14ac:dyDescent="0.25">
      <c r="A789" s="22">
        <v>772</v>
      </c>
      <c r="B789" s="81" t="s">
        <v>24</v>
      </c>
      <c r="C789" s="39">
        <v>955</v>
      </c>
      <c r="D789" s="39" t="s">
        <v>122</v>
      </c>
      <c r="E789" s="111">
        <v>8210000210</v>
      </c>
      <c r="F789" s="111">
        <v>240</v>
      </c>
      <c r="G789" s="18">
        <f>95.61-19</f>
        <v>76.61</v>
      </c>
      <c r="H789" s="18">
        <v>95.61</v>
      </c>
      <c r="I789" s="18">
        <v>95.61</v>
      </c>
    </row>
    <row r="790" spans="1:9" x14ac:dyDescent="0.25">
      <c r="A790" s="48">
        <v>773</v>
      </c>
      <c r="B790" s="81" t="s">
        <v>38</v>
      </c>
      <c r="C790" s="39">
        <v>955</v>
      </c>
      <c r="D790" s="39" t="s">
        <v>122</v>
      </c>
      <c r="E790" s="111">
        <v>8210000210</v>
      </c>
      <c r="F790" s="111">
        <v>800</v>
      </c>
      <c r="G790" s="18">
        <f>G791</f>
        <v>0.72</v>
      </c>
      <c r="H790" s="18">
        <f t="shared" ref="H790:I790" si="344">H791</f>
        <v>0</v>
      </c>
      <c r="I790" s="18">
        <f t="shared" si="344"/>
        <v>0</v>
      </c>
    </row>
    <row r="791" spans="1:9" x14ac:dyDescent="0.25">
      <c r="A791" s="22">
        <v>774</v>
      </c>
      <c r="B791" s="81" t="s">
        <v>108</v>
      </c>
      <c r="C791" s="39">
        <v>955</v>
      </c>
      <c r="D791" s="39" t="s">
        <v>122</v>
      </c>
      <c r="E791" s="111">
        <v>8210000210</v>
      </c>
      <c r="F791" s="111">
        <v>850</v>
      </c>
      <c r="G791" s="18">
        <v>0.72</v>
      </c>
      <c r="H791" s="18">
        <v>0</v>
      </c>
      <c r="I791" s="18">
        <v>0</v>
      </c>
    </row>
    <row r="792" spans="1:9" ht="60" x14ac:dyDescent="0.25">
      <c r="A792" s="48">
        <v>775</v>
      </c>
      <c r="B792" s="118" t="s">
        <v>556</v>
      </c>
      <c r="C792" s="39" t="s">
        <v>552</v>
      </c>
      <c r="D792" s="39" t="s">
        <v>122</v>
      </c>
      <c r="E792" s="111">
        <v>8210010380</v>
      </c>
      <c r="F792" s="111"/>
      <c r="G792" s="18">
        <f>G793</f>
        <v>16.3</v>
      </c>
      <c r="H792" s="18">
        <f t="shared" ref="H792:I793" si="345">H793</f>
        <v>0</v>
      </c>
      <c r="I792" s="18">
        <f t="shared" si="345"/>
        <v>0</v>
      </c>
    </row>
    <row r="793" spans="1:9" ht="45" x14ac:dyDescent="0.25">
      <c r="A793" s="22">
        <v>776</v>
      </c>
      <c r="B793" s="81" t="s">
        <v>17</v>
      </c>
      <c r="C793" s="39" t="s">
        <v>552</v>
      </c>
      <c r="D793" s="39" t="s">
        <v>122</v>
      </c>
      <c r="E793" s="111">
        <v>8210010380</v>
      </c>
      <c r="F793" s="111">
        <v>100</v>
      </c>
      <c r="G793" s="18">
        <f>G794</f>
        <v>16.3</v>
      </c>
      <c r="H793" s="18">
        <f t="shared" si="345"/>
        <v>0</v>
      </c>
      <c r="I793" s="18">
        <f t="shared" si="345"/>
        <v>0</v>
      </c>
    </row>
    <row r="794" spans="1:9" x14ac:dyDescent="0.25">
      <c r="A794" s="48">
        <v>777</v>
      </c>
      <c r="B794" s="81" t="s">
        <v>18</v>
      </c>
      <c r="C794" s="39" t="s">
        <v>552</v>
      </c>
      <c r="D794" s="39" t="s">
        <v>122</v>
      </c>
      <c r="E794" s="111">
        <v>8210010380</v>
      </c>
      <c r="F794" s="111">
        <v>120</v>
      </c>
      <c r="G794" s="18">
        <v>16.3</v>
      </c>
      <c r="H794" s="18">
        <v>0</v>
      </c>
      <c r="I794" s="18">
        <v>0</v>
      </c>
    </row>
    <row r="795" spans="1:9" ht="33.75" customHeight="1" x14ac:dyDescent="0.25">
      <c r="A795" s="22">
        <v>778</v>
      </c>
      <c r="B795" s="54" t="s">
        <v>317</v>
      </c>
      <c r="C795" s="50">
        <v>957</v>
      </c>
      <c r="D795" s="46"/>
      <c r="E795" s="46"/>
      <c r="F795" s="46"/>
      <c r="G795" s="47">
        <f>G796</f>
        <v>3788.1400000000003</v>
      </c>
      <c r="H795" s="47">
        <f t="shared" ref="H795:I797" si="346">H796</f>
        <v>4018.6400000000003</v>
      </c>
      <c r="I795" s="47">
        <f t="shared" si="346"/>
        <v>4018.6400000000003</v>
      </c>
    </row>
    <row r="796" spans="1:9" x14ac:dyDescent="0.25">
      <c r="A796" s="48">
        <v>779</v>
      </c>
      <c r="B796" s="57" t="s">
        <v>115</v>
      </c>
      <c r="C796" s="23">
        <v>957</v>
      </c>
      <c r="D796" s="23" t="s">
        <v>116</v>
      </c>
      <c r="E796" s="22"/>
      <c r="F796" s="22"/>
      <c r="G796" s="18">
        <f>G797</f>
        <v>3788.1400000000003</v>
      </c>
      <c r="H796" s="18">
        <f t="shared" si="346"/>
        <v>4018.6400000000003</v>
      </c>
      <c r="I796" s="18">
        <f t="shared" si="346"/>
        <v>4018.6400000000003</v>
      </c>
    </row>
    <row r="797" spans="1:9" ht="30" x14ac:dyDescent="0.25">
      <c r="A797" s="22">
        <v>780</v>
      </c>
      <c r="B797" s="81" t="s">
        <v>119</v>
      </c>
      <c r="C797" s="23">
        <v>957</v>
      </c>
      <c r="D797" s="23" t="s">
        <v>120</v>
      </c>
      <c r="E797" s="22"/>
      <c r="F797" s="22"/>
      <c r="G797" s="18">
        <f>G798</f>
        <v>3788.1400000000003</v>
      </c>
      <c r="H797" s="18">
        <f t="shared" si="346"/>
        <v>4018.6400000000003</v>
      </c>
      <c r="I797" s="18">
        <f t="shared" si="346"/>
        <v>4018.6400000000003</v>
      </c>
    </row>
    <row r="798" spans="1:9" x14ac:dyDescent="0.25">
      <c r="A798" s="48">
        <v>781</v>
      </c>
      <c r="B798" s="81" t="s">
        <v>174</v>
      </c>
      <c r="C798" s="23">
        <v>957</v>
      </c>
      <c r="D798" s="23" t="s">
        <v>120</v>
      </c>
      <c r="E798" s="22">
        <v>8100000000</v>
      </c>
      <c r="F798" s="22"/>
      <c r="G798" s="18">
        <f>G799</f>
        <v>3788.1400000000003</v>
      </c>
      <c r="H798" s="18">
        <f>H800+H807</f>
        <v>4018.6400000000003</v>
      </c>
      <c r="I798" s="18">
        <f>I800+I807</f>
        <v>4018.6400000000003</v>
      </c>
    </row>
    <row r="799" spans="1:9" x14ac:dyDescent="0.25">
      <c r="A799" s="22">
        <v>782</v>
      </c>
      <c r="B799" s="80" t="s">
        <v>375</v>
      </c>
      <c r="C799" s="23">
        <v>957</v>
      </c>
      <c r="D799" s="23" t="s">
        <v>120</v>
      </c>
      <c r="E799" s="22">
        <v>8110000000</v>
      </c>
      <c r="F799" s="22"/>
      <c r="G799" s="18">
        <f>G800+G807+G810</f>
        <v>3788.1400000000003</v>
      </c>
      <c r="H799" s="18">
        <f t="shared" ref="H799:I799" si="347">H800+H807</f>
        <v>4018.6400000000003</v>
      </c>
      <c r="I799" s="18">
        <f t="shared" si="347"/>
        <v>4018.6400000000003</v>
      </c>
    </row>
    <row r="800" spans="1:9" ht="30" x14ac:dyDescent="0.25">
      <c r="A800" s="48">
        <v>783</v>
      </c>
      <c r="B800" s="112" t="s">
        <v>176</v>
      </c>
      <c r="C800" s="23">
        <v>957</v>
      </c>
      <c r="D800" s="23" t="s">
        <v>120</v>
      </c>
      <c r="E800" s="22">
        <v>8110000210</v>
      </c>
      <c r="F800" s="22"/>
      <c r="G800" s="18">
        <f>G801+G803+G805</f>
        <v>2328.7800000000002</v>
      </c>
      <c r="H800" s="18">
        <f t="shared" ref="H800:I800" si="348">H801+H803</f>
        <v>2524.7800000000002</v>
      </c>
      <c r="I800" s="18">
        <f t="shared" si="348"/>
        <v>2524.7800000000002</v>
      </c>
    </row>
    <row r="801" spans="1:11" ht="45" x14ac:dyDescent="0.25">
      <c r="A801" s="22">
        <v>784</v>
      </c>
      <c r="B801" s="81" t="s">
        <v>17</v>
      </c>
      <c r="C801" s="23">
        <v>957</v>
      </c>
      <c r="D801" s="23" t="s">
        <v>120</v>
      </c>
      <c r="E801" s="22">
        <v>8110000210</v>
      </c>
      <c r="F801" s="22">
        <v>100</v>
      </c>
      <c r="G801" s="18">
        <f>G802</f>
        <v>1747.41</v>
      </c>
      <c r="H801" s="18">
        <f t="shared" ref="H801:I801" si="349">H802</f>
        <v>1740.71</v>
      </c>
      <c r="I801" s="18">
        <f t="shared" si="349"/>
        <v>1740.71</v>
      </c>
    </row>
    <row r="802" spans="1:11" x14ac:dyDescent="0.25">
      <c r="A802" s="48">
        <v>785</v>
      </c>
      <c r="B802" s="81" t="s">
        <v>18</v>
      </c>
      <c r="C802" s="23">
        <v>957</v>
      </c>
      <c r="D802" s="23" t="s">
        <v>120</v>
      </c>
      <c r="E802" s="22">
        <v>8110000210</v>
      </c>
      <c r="F802" s="22">
        <v>120</v>
      </c>
      <c r="G802" s="18">
        <f>1740.71-0.1-0.2-25+32</f>
        <v>1747.41</v>
      </c>
      <c r="H802" s="18">
        <v>1740.71</v>
      </c>
      <c r="I802" s="18">
        <v>1740.71</v>
      </c>
      <c r="K802" s="73">
        <v>32</v>
      </c>
    </row>
    <row r="803" spans="1:11" x14ac:dyDescent="0.25">
      <c r="A803" s="22">
        <v>786</v>
      </c>
      <c r="B803" s="81" t="s">
        <v>23</v>
      </c>
      <c r="C803" s="23">
        <v>957</v>
      </c>
      <c r="D803" s="23" t="s">
        <v>120</v>
      </c>
      <c r="E803" s="22">
        <v>8110000210</v>
      </c>
      <c r="F803" s="22">
        <v>200</v>
      </c>
      <c r="G803" s="18">
        <f>G804</f>
        <v>581.07000000000005</v>
      </c>
      <c r="H803" s="18">
        <f t="shared" ref="H803:I803" si="350">H804</f>
        <v>784.07</v>
      </c>
      <c r="I803" s="18">
        <f t="shared" si="350"/>
        <v>784.07</v>
      </c>
    </row>
    <row r="804" spans="1:11" x14ac:dyDescent="0.25">
      <c r="A804" s="48">
        <v>787</v>
      </c>
      <c r="B804" s="81" t="s">
        <v>24</v>
      </c>
      <c r="C804" s="23">
        <v>957</v>
      </c>
      <c r="D804" s="23" t="s">
        <v>120</v>
      </c>
      <c r="E804" s="22">
        <v>8110000210</v>
      </c>
      <c r="F804" s="22">
        <v>240</v>
      </c>
      <c r="G804" s="18">
        <f>784.07-203</f>
        <v>581.07000000000005</v>
      </c>
      <c r="H804" s="18">
        <v>784.07</v>
      </c>
      <c r="I804" s="18">
        <v>784.07</v>
      </c>
    </row>
    <row r="805" spans="1:11" x14ac:dyDescent="0.25">
      <c r="A805" s="22">
        <v>788</v>
      </c>
      <c r="B805" s="81" t="s">
        <v>38</v>
      </c>
      <c r="C805" s="23">
        <v>957</v>
      </c>
      <c r="D805" s="23" t="s">
        <v>120</v>
      </c>
      <c r="E805" s="22">
        <v>8110000210</v>
      </c>
      <c r="F805" s="22">
        <v>800</v>
      </c>
      <c r="G805" s="18">
        <f>G806</f>
        <v>0.30000000000000004</v>
      </c>
      <c r="H805" s="18"/>
      <c r="I805" s="18"/>
    </row>
    <row r="806" spans="1:11" x14ac:dyDescent="0.25">
      <c r="A806" s="48">
        <v>789</v>
      </c>
      <c r="B806" s="81" t="s">
        <v>108</v>
      </c>
      <c r="C806" s="23">
        <v>957</v>
      </c>
      <c r="D806" s="23" t="s">
        <v>120</v>
      </c>
      <c r="E806" s="22">
        <v>8110000210</v>
      </c>
      <c r="F806" s="22">
        <v>850</v>
      </c>
      <c r="G806" s="18">
        <f>0.1+0.2</f>
        <v>0.30000000000000004</v>
      </c>
      <c r="H806" s="18"/>
      <c r="I806" s="18"/>
    </row>
    <row r="807" spans="1:11" x14ac:dyDescent="0.25">
      <c r="A807" s="22">
        <v>790</v>
      </c>
      <c r="B807" s="112" t="s">
        <v>175</v>
      </c>
      <c r="C807" s="39">
        <v>957</v>
      </c>
      <c r="D807" s="23" t="s">
        <v>120</v>
      </c>
      <c r="E807" s="111">
        <v>8110000240</v>
      </c>
      <c r="F807" s="111"/>
      <c r="G807" s="18">
        <f>G808</f>
        <v>1428.86</v>
      </c>
      <c r="H807" s="18">
        <f t="shared" ref="H807:I807" si="351">H808</f>
        <v>1493.86</v>
      </c>
      <c r="I807" s="18">
        <f t="shared" si="351"/>
        <v>1493.86</v>
      </c>
    </row>
    <row r="808" spans="1:11" ht="45" x14ac:dyDescent="0.25">
      <c r="A808" s="48">
        <v>791</v>
      </c>
      <c r="B808" s="81" t="s">
        <v>17</v>
      </c>
      <c r="C808" s="39">
        <v>957</v>
      </c>
      <c r="D808" s="23" t="s">
        <v>120</v>
      </c>
      <c r="E808" s="111">
        <v>8110000240</v>
      </c>
      <c r="F808" s="111">
        <v>100</v>
      </c>
      <c r="G808" s="18">
        <f>G809</f>
        <v>1428.86</v>
      </c>
      <c r="H808" s="18">
        <f t="shared" ref="H808:I808" si="352">H809</f>
        <v>1493.86</v>
      </c>
      <c r="I808" s="18">
        <f t="shared" si="352"/>
        <v>1493.86</v>
      </c>
    </row>
    <row r="809" spans="1:11" x14ac:dyDescent="0.25">
      <c r="A809" s="22">
        <v>792</v>
      </c>
      <c r="B809" s="81" t="s">
        <v>18</v>
      </c>
      <c r="C809" s="39">
        <v>957</v>
      </c>
      <c r="D809" s="23" t="s">
        <v>120</v>
      </c>
      <c r="E809" s="111">
        <v>8110000240</v>
      </c>
      <c r="F809" s="111">
        <v>120</v>
      </c>
      <c r="G809" s="18">
        <f>1493.86-65</f>
        <v>1428.86</v>
      </c>
      <c r="H809" s="18">
        <v>1493.86</v>
      </c>
      <c r="I809" s="18">
        <v>1493.86</v>
      </c>
    </row>
    <row r="810" spans="1:11" ht="60" x14ac:dyDescent="0.25">
      <c r="A810" s="48">
        <v>793</v>
      </c>
      <c r="B810" s="118" t="s">
        <v>556</v>
      </c>
      <c r="C810" s="39" t="s">
        <v>553</v>
      </c>
      <c r="D810" s="23" t="s">
        <v>120</v>
      </c>
      <c r="E810" s="111">
        <v>8110010380</v>
      </c>
      <c r="F810" s="111"/>
      <c r="G810" s="18">
        <f>G811</f>
        <v>30.5</v>
      </c>
      <c r="H810" s="18">
        <f t="shared" ref="H810:I811" si="353">H811</f>
        <v>0</v>
      </c>
      <c r="I810" s="18">
        <f t="shared" si="353"/>
        <v>0</v>
      </c>
    </row>
    <row r="811" spans="1:11" ht="45" x14ac:dyDescent="0.25">
      <c r="A811" s="22">
        <v>794</v>
      </c>
      <c r="B811" s="81" t="s">
        <v>17</v>
      </c>
      <c r="C811" s="39" t="s">
        <v>553</v>
      </c>
      <c r="D811" s="23" t="s">
        <v>120</v>
      </c>
      <c r="E811" s="111">
        <v>8110010380</v>
      </c>
      <c r="F811" s="111">
        <v>100</v>
      </c>
      <c r="G811" s="18">
        <f>G812</f>
        <v>30.5</v>
      </c>
      <c r="H811" s="18">
        <f t="shared" si="353"/>
        <v>0</v>
      </c>
      <c r="I811" s="18">
        <f t="shared" si="353"/>
        <v>0</v>
      </c>
    </row>
    <row r="812" spans="1:11" x14ac:dyDescent="0.25">
      <c r="A812" s="48">
        <v>795</v>
      </c>
      <c r="B812" s="81" t="s">
        <v>18</v>
      </c>
      <c r="C812" s="39" t="s">
        <v>553</v>
      </c>
      <c r="D812" s="23" t="s">
        <v>120</v>
      </c>
      <c r="E812" s="111">
        <v>8110010380</v>
      </c>
      <c r="F812" s="111">
        <v>120</v>
      </c>
      <c r="G812" s="18">
        <v>30.5</v>
      </c>
      <c r="H812" s="18">
        <v>0</v>
      </c>
      <c r="I812" s="18">
        <v>0</v>
      </c>
    </row>
    <row r="813" spans="1:11" x14ac:dyDescent="0.25">
      <c r="A813" s="22">
        <v>796</v>
      </c>
      <c r="B813" s="112" t="s">
        <v>163</v>
      </c>
      <c r="C813" s="111"/>
      <c r="D813" s="111"/>
      <c r="E813" s="111"/>
      <c r="F813" s="111"/>
      <c r="G813" s="30"/>
      <c r="H813" s="18">
        <v>23750.84</v>
      </c>
      <c r="I813" s="18">
        <v>48328.44</v>
      </c>
    </row>
    <row r="814" spans="1:11" x14ac:dyDescent="0.25">
      <c r="A814" s="48">
        <v>797</v>
      </c>
      <c r="B814" s="35" t="s">
        <v>113</v>
      </c>
      <c r="C814" s="36"/>
      <c r="D814" s="36"/>
      <c r="E814" s="36"/>
      <c r="F814" s="36"/>
      <c r="G814" s="37">
        <f>G18+G149+G340+G364+G384+G392+G416+G431+G457+G574+G713+G780+G795</f>
        <v>1206256.1539999999</v>
      </c>
      <c r="H814" s="37">
        <f>H18+H149+H340+H364+H384+H392+H416+H431+H457+H574+H713+H780+H795+H813</f>
        <v>940679.07599999988</v>
      </c>
      <c r="I814" s="37">
        <f>I18+I149+I340+I364+I384+I392+I416+I431+I457+I574+I713+I780+I795+I813</f>
        <v>966020.96299999999</v>
      </c>
    </row>
    <row r="815" spans="1:11" x14ac:dyDescent="0.25">
      <c r="C815" s="38"/>
      <c r="D815" s="38"/>
      <c r="E815" s="38"/>
    </row>
    <row r="816" spans="1:11" x14ac:dyDescent="0.25">
      <c r="H816" s="5">
        <f>H813/H814*100</f>
        <v>2.5248610930089406</v>
      </c>
      <c r="I816" s="5">
        <f>I813/I814*100</f>
        <v>5.0028355337046655</v>
      </c>
    </row>
  </sheetData>
  <mergeCells count="2">
    <mergeCell ref="A12:I12"/>
    <mergeCell ref="A13:I13"/>
  </mergeCells>
  <printOptions horizontalCentered="1"/>
  <pageMargins left="0.39370078740157483" right="0.39370078740157483" top="0.94488188976377963" bottom="0.39370078740157483" header="0.31496062992125984" footer="0.31496062992125984"/>
  <pageSetup paperSize="9" scale="6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4"/>
  <sheetViews>
    <sheetView tabSelected="1" view="pageBreakPreview" topLeftCell="A214" zoomScaleNormal="100" zoomScaleSheetLayoutView="100" workbookViewId="0">
      <selection activeCell="B234" sqref="B234"/>
    </sheetView>
  </sheetViews>
  <sheetFormatPr defaultRowHeight="15" x14ac:dyDescent="0.25"/>
  <cols>
    <col min="1" max="1" width="5.85546875" style="40" customWidth="1"/>
    <col min="2" max="2" width="72.42578125" style="2" customWidth="1"/>
    <col min="3" max="3" width="13.5703125" style="3" customWidth="1"/>
    <col min="4" max="4" width="9.140625" style="3" customWidth="1"/>
    <col min="5" max="5" width="12.28515625" style="3" customWidth="1"/>
    <col min="6" max="6" width="16" style="3" customWidth="1"/>
    <col min="7" max="7" width="16.28515625" style="3" bestFit="1" customWidth="1"/>
    <col min="8" max="8" width="15.140625" style="3" customWidth="1"/>
    <col min="9" max="9" width="14.85546875" style="145" customWidth="1"/>
    <col min="10" max="10" width="9.140625" style="3"/>
    <col min="11" max="16384" width="9.140625" style="1"/>
  </cols>
  <sheetData>
    <row r="1" spans="1:11" hidden="1" x14ac:dyDescent="0.25">
      <c r="E1" s="4" t="s">
        <v>567</v>
      </c>
    </row>
    <row r="2" spans="1:11" hidden="1" x14ac:dyDescent="0.25">
      <c r="E2" s="6" t="s">
        <v>197</v>
      </c>
    </row>
    <row r="3" spans="1:11" hidden="1" x14ac:dyDescent="0.25">
      <c r="E3" s="6" t="s">
        <v>326</v>
      </c>
    </row>
    <row r="4" spans="1:11" hidden="1" x14ac:dyDescent="0.25">
      <c r="E4" s="6" t="s">
        <v>201</v>
      </c>
    </row>
    <row r="5" spans="1:11" hidden="1" x14ac:dyDescent="0.25">
      <c r="E5" s="6"/>
    </row>
    <row r="6" spans="1:11" hidden="1" x14ac:dyDescent="0.25">
      <c r="E6" s="4" t="s">
        <v>200</v>
      </c>
    </row>
    <row r="7" spans="1:11" hidden="1" x14ac:dyDescent="0.25">
      <c r="E7" s="6" t="s">
        <v>197</v>
      </c>
    </row>
    <row r="8" spans="1:11" hidden="1" x14ac:dyDescent="0.25">
      <c r="E8" s="6" t="s">
        <v>326</v>
      </c>
    </row>
    <row r="9" spans="1:11" hidden="1" x14ac:dyDescent="0.25">
      <c r="E9" s="6" t="s">
        <v>483</v>
      </c>
    </row>
    <row r="10" spans="1:11" hidden="1" x14ac:dyDescent="0.25">
      <c r="E10" s="6"/>
    </row>
    <row r="11" spans="1:11" x14ac:dyDescent="0.25">
      <c r="E11" s="6"/>
    </row>
    <row r="12" spans="1:11" x14ac:dyDescent="0.25">
      <c r="A12" s="232" t="s">
        <v>578</v>
      </c>
      <c r="B12" s="232"/>
      <c r="C12" s="232"/>
      <c r="D12" s="232"/>
      <c r="E12" s="232"/>
      <c r="F12" s="232"/>
      <c r="G12" s="232"/>
      <c r="H12" s="232"/>
      <c r="I12" s="232"/>
    </row>
    <row r="13" spans="1:11" x14ac:dyDescent="0.25">
      <c r="A13" s="9"/>
      <c r="B13" s="10"/>
      <c r="C13" s="11"/>
      <c r="D13" s="11"/>
      <c r="E13" s="11"/>
      <c r="G13" s="236" t="s">
        <v>0</v>
      </c>
      <c r="H13" s="236"/>
      <c r="I13" s="236"/>
    </row>
    <row r="14" spans="1:11" ht="57" x14ac:dyDescent="0.25">
      <c r="A14" s="159" t="s">
        <v>1</v>
      </c>
      <c r="B14" s="159" t="s">
        <v>2</v>
      </c>
      <c r="C14" s="160" t="s">
        <v>5</v>
      </c>
      <c r="D14" s="160" t="s">
        <v>6</v>
      </c>
      <c r="E14" s="160" t="s">
        <v>114</v>
      </c>
      <c r="F14" s="161" t="s">
        <v>568</v>
      </c>
      <c r="G14" s="161" t="s">
        <v>569</v>
      </c>
      <c r="H14" s="161" t="s">
        <v>570</v>
      </c>
      <c r="I14" s="162" t="s">
        <v>572</v>
      </c>
      <c r="J14" s="145"/>
    </row>
    <row r="15" spans="1:11" x14ac:dyDescent="0.25">
      <c r="A15" s="15"/>
      <c r="B15" s="13" t="s">
        <v>7</v>
      </c>
      <c r="C15" s="13" t="s">
        <v>8</v>
      </c>
      <c r="D15" s="13" t="s">
        <v>9</v>
      </c>
      <c r="E15" s="13" t="s">
        <v>10</v>
      </c>
      <c r="F15" s="13" t="s">
        <v>11</v>
      </c>
      <c r="G15" s="17">
        <v>6</v>
      </c>
      <c r="H15" s="133">
        <v>7</v>
      </c>
      <c r="I15" s="22">
        <v>8</v>
      </c>
      <c r="J15" s="145"/>
    </row>
    <row r="16" spans="1:11" ht="42.75" x14ac:dyDescent="0.25">
      <c r="A16" s="135">
        <v>1</v>
      </c>
      <c r="B16" s="136" t="s">
        <v>292</v>
      </c>
      <c r="C16" s="137" t="str">
        <f>'приложение 6'!E716</f>
        <v>0100000000</v>
      </c>
      <c r="D16" s="137"/>
      <c r="E16" s="137"/>
      <c r="F16" s="138">
        <f>F17+F23+F29+F30+F34</f>
        <v>72447.960000000006</v>
      </c>
      <c r="G16" s="138">
        <f>G17+G23+G30+G34</f>
        <v>74142.659979999997</v>
      </c>
      <c r="H16" s="138">
        <f t="shared" ref="H16" si="0">H17+H23+H29+H30+H34</f>
        <v>73552.852080000011</v>
      </c>
      <c r="I16" s="138">
        <f>H16/G16*100</f>
        <v>99.204495899986483</v>
      </c>
      <c r="J16" s="145"/>
      <c r="K16" s="134"/>
    </row>
    <row r="17" spans="1:10" ht="30" x14ac:dyDescent="0.25">
      <c r="A17" s="60"/>
      <c r="B17" s="177" t="s">
        <v>581</v>
      </c>
      <c r="C17" s="172" t="str">
        <f>'приложение 6'!E745</f>
        <v>0110000000</v>
      </c>
      <c r="D17" s="172"/>
      <c r="E17" s="172"/>
      <c r="F17" s="18">
        <f>F19+F21+F22+F18+F20</f>
        <v>1020.5999999999999</v>
      </c>
      <c r="G17" s="18">
        <f>G18+G19+G20+G21+G22</f>
        <v>1020.5999999999999</v>
      </c>
      <c r="H17" s="18">
        <f t="shared" ref="H17" si="1">H19+H21+H22+H18+H20</f>
        <v>605.64919999999995</v>
      </c>
      <c r="I17" s="18">
        <f t="shared" ref="I17:I80" si="2">H17/G17*100</f>
        <v>59.342465216539289</v>
      </c>
      <c r="J17" s="145"/>
    </row>
    <row r="18" spans="1:10" hidden="1" x14ac:dyDescent="0.25">
      <c r="A18" s="190"/>
      <c r="B18" s="237" t="s">
        <v>192</v>
      </c>
      <c r="C18" s="190" t="str">
        <f>'приложение 6'!E746</f>
        <v>0110080010</v>
      </c>
      <c r="D18" s="172">
        <v>240</v>
      </c>
      <c r="E18" s="39" t="s">
        <v>159</v>
      </c>
      <c r="F18" s="18">
        <f>'приложение 6'!G748</f>
        <v>7.4</v>
      </c>
      <c r="G18" s="18">
        <v>7.4</v>
      </c>
      <c r="H18" s="18">
        <v>1.83</v>
      </c>
      <c r="I18" s="18">
        <f t="shared" si="2"/>
        <v>24.72972972972973</v>
      </c>
      <c r="J18" s="145"/>
    </row>
    <row r="19" spans="1:10" hidden="1" x14ac:dyDescent="0.25">
      <c r="A19" s="191"/>
      <c r="B19" s="238"/>
      <c r="C19" s="191"/>
      <c r="D19" s="41">
        <f>'приложение 6'!F750</f>
        <v>310</v>
      </c>
      <c r="E19" s="39" t="str">
        <f>'приложение 6'!D750</f>
        <v>1006</v>
      </c>
      <c r="F19" s="18">
        <f>'приложение 6'!G750</f>
        <v>697</v>
      </c>
      <c r="G19" s="18">
        <v>697</v>
      </c>
      <c r="H19" s="18">
        <v>305</v>
      </c>
      <c r="I19" s="18">
        <f t="shared" si="2"/>
        <v>43.758967001434719</v>
      </c>
      <c r="J19" s="145"/>
    </row>
    <row r="20" spans="1:10" hidden="1" x14ac:dyDescent="0.25">
      <c r="A20" s="190"/>
      <c r="B20" s="239" t="s">
        <v>187</v>
      </c>
      <c r="C20" s="190" t="str">
        <f>'приложение 6'!E751</f>
        <v>0110080020</v>
      </c>
      <c r="D20" s="41">
        <v>240</v>
      </c>
      <c r="E20" s="39" t="s">
        <v>159</v>
      </c>
      <c r="F20" s="18">
        <v>7</v>
      </c>
      <c r="G20" s="18">
        <v>7</v>
      </c>
      <c r="H20" s="18">
        <v>2.7791999999999999</v>
      </c>
      <c r="I20" s="18">
        <f t="shared" si="2"/>
        <v>39.702857142857141</v>
      </c>
      <c r="J20" s="145"/>
    </row>
    <row r="21" spans="1:10" hidden="1" x14ac:dyDescent="0.25">
      <c r="A21" s="193"/>
      <c r="B21" s="240"/>
      <c r="C21" s="193"/>
      <c r="D21" s="172">
        <f>'приложение 6'!F755</f>
        <v>310</v>
      </c>
      <c r="E21" s="39" t="str">
        <f>'приложение 6'!D755</f>
        <v>1006</v>
      </c>
      <c r="F21" s="18">
        <f>'приложение 6'!G755</f>
        <v>82.8</v>
      </c>
      <c r="G21" s="18">
        <v>82.8</v>
      </c>
      <c r="H21" s="18">
        <v>82.8</v>
      </c>
      <c r="I21" s="18">
        <f t="shared" si="2"/>
        <v>100</v>
      </c>
      <c r="J21" s="145"/>
    </row>
    <row r="22" spans="1:10" hidden="1" x14ac:dyDescent="0.25">
      <c r="A22" s="191"/>
      <c r="B22" s="241"/>
      <c r="C22" s="191"/>
      <c r="D22" s="172">
        <f>'приложение 6'!F756</f>
        <v>320</v>
      </c>
      <c r="E22" s="39" t="str">
        <f>'приложение 6'!D756</f>
        <v>1006</v>
      </c>
      <c r="F22" s="18">
        <f>'приложение 6'!G756</f>
        <v>226.39999999999998</v>
      </c>
      <c r="G22" s="18">
        <v>226.4</v>
      </c>
      <c r="H22" s="18">
        <v>213.24</v>
      </c>
      <c r="I22" s="18">
        <f t="shared" si="2"/>
        <v>94.187279151943457</v>
      </c>
      <c r="J22" s="145"/>
    </row>
    <row r="23" spans="1:10" x14ac:dyDescent="0.25">
      <c r="A23" s="60"/>
      <c r="B23" s="178" t="s">
        <v>579</v>
      </c>
      <c r="C23" s="172" t="str">
        <f>'приложение 6'!E737</f>
        <v>0120000000</v>
      </c>
      <c r="D23" s="172"/>
      <c r="E23" s="39"/>
      <c r="F23" s="18">
        <f>F24+F25+F27+F28+F26</f>
        <v>207.35</v>
      </c>
      <c r="G23" s="18">
        <f>G24+G25+G26+G27+G28+G29</f>
        <v>207.35</v>
      </c>
      <c r="H23" s="18">
        <f t="shared" ref="H23" si="3">H24+H25+H27+H28+H26</f>
        <v>190.8</v>
      </c>
      <c r="I23" s="18">
        <f t="shared" si="2"/>
        <v>92.018326501085141</v>
      </c>
      <c r="J23" s="145"/>
    </row>
    <row r="24" spans="1:10" hidden="1" x14ac:dyDescent="0.25">
      <c r="A24" s="192"/>
      <c r="B24" s="233" t="s">
        <v>105</v>
      </c>
      <c r="C24" s="192" t="str">
        <f>'приложение 6'!E739</f>
        <v>0120006400</v>
      </c>
      <c r="D24" s="41">
        <f>'приложение 6'!F740</f>
        <v>110</v>
      </c>
      <c r="E24" s="39" t="str">
        <f>'приложение 6'!D740</f>
        <v>1003</v>
      </c>
      <c r="F24" s="18">
        <f>'приложение 6'!G740</f>
        <v>16</v>
      </c>
      <c r="G24" s="18">
        <v>16</v>
      </c>
      <c r="H24" s="18">
        <v>6.9</v>
      </c>
      <c r="I24" s="18">
        <f t="shared" si="2"/>
        <v>43.125</v>
      </c>
      <c r="J24" s="145"/>
    </row>
    <row r="25" spans="1:10" hidden="1" x14ac:dyDescent="0.25">
      <c r="A25" s="192"/>
      <c r="B25" s="234"/>
      <c r="C25" s="235"/>
      <c r="D25" s="41">
        <f>'приложение 6'!F742</f>
        <v>240</v>
      </c>
      <c r="E25" s="39" t="str">
        <f>'приложение 6'!D742</f>
        <v>1003</v>
      </c>
      <c r="F25" s="18">
        <f>'приложение 6'!G742</f>
        <v>190.9</v>
      </c>
      <c r="G25" s="18">
        <v>190.9</v>
      </c>
      <c r="H25" s="18">
        <v>183.9</v>
      </c>
      <c r="I25" s="18">
        <f t="shared" si="2"/>
        <v>96.333158721843887</v>
      </c>
      <c r="J25" s="145"/>
    </row>
    <row r="26" spans="1:10" hidden="1" x14ac:dyDescent="0.25">
      <c r="A26" s="78"/>
      <c r="B26" s="218" t="s">
        <v>194</v>
      </c>
      <c r="C26" s="190" t="str">
        <f>'приложение 6'!E758</f>
        <v>0120080030</v>
      </c>
      <c r="D26" s="41">
        <v>240</v>
      </c>
      <c r="E26" s="39" t="s">
        <v>159</v>
      </c>
      <c r="F26" s="18">
        <f>'приложение 6'!G760</f>
        <v>0.45</v>
      </c>
      <c r="G26" s="18">
        <v>0.45</v>
      </c>
      <c r="H26" s="150">
        <v>0</v>
      </c>
      <c r="I26" s="150">
        <f t="shared" si="2"/>
        <v>0</v>
      </c>
      <c r="J26" s="145"/>
    </row>
    <row r="27" spans="1:10" hidden="1" x14ac:dyDescent="0.25">
      <c r="A27" s="192"/>
      <c r="B27" s="219"/>
      <c r="C27" s="193"/>
      <c r="D27" s="172">
        <v>310</v>
      </c>
      <c r="E27" s="39" t="str">
        <f>'приложение 6'!D767</f>
        <v>1006</v>
      </c>
      <c r="F27" s="157">
        <f>'приложение 6'!G762</f>
        <v>0</v>
      </c>
      <c r="G27" s="157">
        <v>0</v>
      </c>
      <c r="H27" s="157">
        <v>0</v>
      </c>
      <c r="I27" s="157" t="s">
        <v>571</v>
      </c>
      <c r="J27" s="145"/>
    </row>
    <row r="28" spans="1:10" hidden="1" x14ac:dyDescent="0.25">
      <c r="A28" s="192"/>
      <c r="B28" s="220"/>
      <c r="C28" s="191"/>
      <c r="D28" s="172">
        <v>320</v>
      </c>
      <c r="E28" s="39" t="s">
        <v>159</v>
      </c>
      <c r="F28" s="157">
        <f>'приложение 6'!G763</f>
        <v>0</v>
      </c>
      <c r="G28" s="157">
        <v>0</v>
      </c>
      <c r="H28" s="157">
        <v>0</v>
      </c>
      <c r="I28" s="157" t="s">
        <v>571</v>
      </c>
      <c r="J28" s="145"/>
    </row>
    <row r="29" spans="1:10" ht="30" x14ac:dyDescent="0.25">
      <c r="A29" s="60"/>
      <c r="B29" s="178" t="s">
        <v>580</v>
      </c>
      <c r="C29" s="39" t="s">
        <v>318</v>
      </c>
      <c r="D29" s="172"/>
      <c r="E29" s="39"/>
      <c r="F29" s="181">
        <v>0</v>
      </c>
      <c r="G29" s="181">
        <v>0</v>
      </c>
      <c r="H29" s="181">
        <v>0</v>
      </c>
      <c r="I29" s="157" t="s">
        <v>571</v>
      </c>
      <c r="J29" s="145"/>
    </row>
    <row r="30" spans="1:10" ht="30" x14ac:dyDescent="0.25">
      <c r="A30" s="60"/>
      <c r="B30" s="177" t="s">
        <v>582</v>
      </c>
      <c r="C30" s="39" t="s">
        <v>281</v>
      </c>
      <c r="D30" s="172"/>
      <c r="E30" s="39"/>
      <c r="F30" s="18">
        <f>F31+F32+F33</f>
        <v>61740.170000000006</v>
      </c>
      <c r="G30" s="18">
        <f>G31+G32+G33</f>
        <v>63260.169980000006</v>
      </c>
      <c r="H30" s="18">
        <f>H31+H32+H33</f>
        <v>63212.378980000009</v>
      </c>
      <c r="I30" s="18">
        <f t="shared" si="2"/>
        <v>99.924453253895607</v>
      </c>
      <c r="J30" s="145"/>
    </row>
    <row r="31" spans="1:10" ht="60" hidden="1" x14ac:dyDescent="0.25">
      <c r="A31" s="60"/>
      <c r="B31" s="177" t="s">
        <v>102</v>
      </c>
      <c r="C31" s="172" t="str">
        <f>'приложение 6'!E726</f>
        <v>0140001510</v>
      </c>
      <c r="D31" s="172">
        <f>'приложение 6'!F728</f>
        <v>610</v>
      </c>
      <c r="E31" s="39" t="str">
        <f>'приложение 6'!D728</f>
        <v>1002</v>
      </c>
      <c r="F31" s="18">
        <f>'приложение 6'!G728</f>
        <v>60266.87</v>
      </c>
      <c r="G31" s="18">
        <v>61786.87</v>
      </c>
      <c r="H31" s="18">
        <v>61786.87</v>
      </c>
      <c r="I31" s="18">
        <f t="shared" si="2"/>
        <v>100</v>
      </c>
      <c r="J31" s="145"/>
    </row>
    <row r="32" spans="1:10" ht="30" hidden="1" x14ac:dyDescent="0.25">
      <c r="A32" s="60"/>
      <c r="B32" s="178" t="s">
        <v>112</v>
      </c>
      <c r="C32" s="172" t="str">
        <f>'приложение 6'!E729</f>
        <v>0140000070</v>
      </c>
      <c r="D32" s="172">
        <f>'приложение 6'!F731</f>
        <v>610</v>
      </c>
      <c r="E32" s="39" t="str">
        <f>'приложение 6'!D731</f>
        <v>1002</v>
      </c>
      <c r="F32" s="18">
        <f>'приложение 6'!G731</f>
        <v>68</v>
      </c>
      <c r="G32" s="18">
        <v>68</v>
      </c>
      <c r="H32" s="18">
        <v>20.209</v>
      </c>
      <c r="I32" s="18">
        <f t="shared" si="2"/>
        <v>29.719117647058823</v>
      </c>
      <c r="J32" s="145"/>
    </row>
    <row r="33" spans="1:10" hidden="1" x14ac:dyDescent="0.25">
      <c r="A33" s="97"/>
      <c r="B33" s="178" t="s">
        <v>487</v>
      </c>
      <c r="C33" s="172" t="s">
        <v>489</v>
      </c>
      <c r="D33" s="172">
        <v>610</v>
      </c>
      <c r="E33" s="39" t="s">
        <v>157</v>
      </c>
      <c r="F33" s="18">
        <f>'приложение 6'!G734</f>
        <v>1405.3</v>
      </c>
      <c r="G33" s="18">
        <v>1405.29998</v>
      </c>
      <c r="H33" s="18">
        <v>1405.29998</v>
      </c>
      <c r="I33" s="18">
        <f t="shared" si="2"/>
        <v>100</v>
      </c>
      <c r="J33" s="145"/>
    </row>
    <row r="34" spans="1:10" x14ac:dyDescent="0.25">
      <c r="A34" s="60"/>
      <c r="B34" s="178" t="s">
        <v>583</v>
      </c>
      <c r="C34" s="172" t="str">
        <f>'приложение 6'!E764</f>
        <v>0150000000</v>
      </c>
      <c r="D34" s="172"/>
      <c r="E34" s="39"/>
      <c r="F34" s="18">
        <f>F36+F37+F38+F41+F42+F43+F35+F40</f>
        <v>9479.840000000002</v>
      </c>
      <c r="G34" s="18">
        <f>G35+G36+G37+G38+G39+G40+G41+G42+G43</f>
        <v>9654.5399999999991</v>
      </c>
      <c r="H34" s="18">
        <f>H35+H36+H37+H38+H40+H41+H42+H43</f>
        <v>9544.0239000000001</v>
      </c>
      <c r="I34" s="18">
        <f t="shared" si="2"/>
        <v>98.855293986041815</v>
      </c>
      <c r="J34" s="145"/>
    </row>
    <row r="35" spans="1:10" hidden="1" x14ac:dyDescent="0.25">
      <c r="A35" s="190"/>
      <c r="B35" s="194" t="s">
        <v>97</v>
      </c>
      <c r="C35" s="190" t="str">
        <f>'приложение 6'!E722</f>
        <v>0150001110</v>
      </c>
      <c r="D35" s="60">
        <v>240</v>
      </c>
      <c r="E35" s="39" t="s">
        <v>156</v>
      </c>
      <c r="F35" s="18">
        <f>'приложение 6'!G720</f>
        <v>4.9000000000000004</v>
      </c>
      <c r="G35" s="18">
        <v>4.9000000000000004</v>
      </c>
      <c r="H35" s="18">
        <v>3.4214699999999998</v>
      </c>
      <c r="I35" s="18">
        <f t="shared" si="2"/>
        <v>69.825918367346929</v>
      </c>
      <c r="J35" s="145"/>
    </row>
    <row r="36" spans="1:10" hidden="1" x14ac:dyDescent="0.25">
      <c r="A36" s="191"/>
      <c r="B36" s="196"/>
      <c r="C36" s="191"/>
      <c r="D36" s="60">
        <f>'приложение 6'!F722</f>
        <v>310</v>
      </c>
      <c r="E36" s="39" t="str">
        <f>'приложение 6'!D721</f>
        <v>1001</v>
      </c>
      <c r="F36" s="18">
        <f>'приложение 6'!G722</f>
        <v>574.81000000000006</v>
      </c>
      <c r="G36" s="18">
        <v>574.81479000000002</v>
      </c>
      <c r="H36" s="18">
        <v>574.24674000000005</v>
      </c>
      <c r="I36" s="18">
        <f t="shared" si="2"/>
        <v>99.901176864290491</v>
      </c>
      <c r="J36" s="145"/>
    </row>
    <row r="37" spans="1:10" hidden="1" x14ac:dyDescent="0.25">
      <c r="A37" s="190"/>
      <c r="B37" s="224" t="s">
        <v>109</v>
      </c>
      <c r="C37" s="190" t="str">
        <f>'приложение 6'!E765</f>
        <v>0150000060</v>
      </c>
      <c r="D37" s="41">
        <f>'приложение 6'!F767</f>
        <v>120</v>
      </c>
      <c r="E37" s="39" t="str">
        <f>'приложение 6'!D765</f>
        <v>1006</v>
      </c>
      <c r="F37" s="18">
        <f>'приложение 6'!G767</f>
        <v>979.65</v>
      </c>
      <c r="G37" s="18">
        <v>979.64521000000002</v>
      </c>
      <c r="H37" s="18">
        <v>896.59884</v>
      </c>
      <c r="I37" s="18">
        <f t="shared" si="2"/>
        <v>91.522811610542149</v>
      </c>
      <c r="J37" s="145"/>
    </row>
    <row r="38" spans="1:10" hidden="1" x14ac:dyDescent="0.25">
      <c r="A38" s="193"/>
      <c r="B38" s="225"/>
      <c r="C38" s="193"/>
      <c r="D38" s="60">
        <f>'приложение 6'!F769</f>
        <v>240</v>
      </c>
      <c r="E38" s="39" t="str">
        <f>'приложение 6'!D766</f>
        <v>1006</v>
      </c>
      <c r="F38" s="18">
        <f>'приложение 6'!G769</f>
        <v>90</v>
      </c>
      <c r="G38" s="18">
        <v>84</v>
      </c>
      <c r="H38" s="18">
        <v>64.576849999999993</v>
      </c>
      <c r="I38" s="18">
        <f t="shared" si="2"/>
        <v>76.877202380952369</v>
      </c>
      <c r="J38" s="145"/>
    </row>
    <row r="39" spans="1:10" hidden="1" x14ac:dyDescent="0.25">
      <c r="A39" s="139"/>
      <c r="B39" s="226"/>
      <c r="C39" s="215"/>
      <c r="D39" s="140">
        <v>850</v>
      </c>
      <c r="E39" s="39" t="s">
        <v>159</v>
      </c>
      <c r="F39" s="18">
        <v>6</v>
      </c>
      <c r="G39" s="18">
        <v>6</v>
      </c>
      <c r="H39" s="18">
        <v>0</v>
      </c>
      <c r="I39" s="18">
        <f t="shared" si="2"/>
        <v>0</v>
      </c>
      <c r="J39" s="145"/>
    </row>
    <row r="40" spans="1:10" ht="90" hidden="1" x14ac:dyDescent="0.25">
      <c r="A40" s="108"/>
      <c r="B40" s="92" t="s">
        <v>556</v>
      </c>
      <c r="C40" s="110" t="s">
        <v>551</v>
      </c>
      <c r="D40" s="110">
        <v>110</v>
      </c>
      <c r="E40" s="39" t="s">
        <v>159</v>
      </c>
      <c r="F40" s="18">
        <f>'приложение 6'!G772</f>
        <v>9.73</v>
      </c>
      <c r="G40" s="18">
        <v>9.73</v>
      </c>
      <c r="H40" s="18">
        <v>9.73</v>
      </c>
      <c r="I40" s="18">
        <f t="shared" si="2"/>
        <v>100</v>
      </c>
      <c r="J40" s="145"/>
    </row>
    <row r="41" spans="1:10" hidden="1" x14ac:dyDescent="0.25">
      <c r="A41" s="192"/>
      <c r="B41" s="221" t="s">
        <v>107</v>
      </c>
      <c r="C41" s="192" t="str">
        <f>'приложение 6'!E773</f>
        <v>0150075130</v>
      </c>
      <c r="D41" s="60">
        <f>'приложение 6'!F775</f>
        <v>120</v>
      </c>
      <c r="E41" s="39" t="str">
        <f>'приложение 6'!D767</f>
        <v>1006</v>
      </c>
      <c r="F41" s="18">
        <f>'приложение 6'!G775</f>
        <v>7372.01</v>
      </c>
      <c r="G41" s="18">
        <v>7522.1379800000004</v>
      </c>
      <c r="H41" s="18">
        <v>7522.1379800000004</v>
      </c>
      <c r="I41" s="18">
        <f t="shared" si="2"/>
        <v>100</v>
      </c>
      <c r="J41" s="145"/>
    </row>
    <row r="42" spans="1:10" hidden="1" x14ac:dyDescent="0.25">
      <c r="A42" s="192"/>
      <c r="B42" s="221"/>
      <c r="C42" s="192"/>
      <c r="D42" s="60">
        <f>'приложение 6'!F777</f>
        <v>240</v>
      </c>
      <c r="E42" s="39" t="str">
        <f>'приложение 6'!D777</f>
        <v>1006</v>
      </c>
      <c r="F42" s="18">
        <f>'приложение 6'!G777</f>
        <v>432.62</v>
      </c>
      <c r="G42" s="18">
        <v>470.73827</v>
      </c>
      <c r="H42" s="18">
        <v>470.73827</v>
      </c>
      <c r="I42" s="18">
        <f t="shared" si="2"/>
        <v>100</v>
      </c>
      <c r="J42" s="145"/>
    </row>
    <row r="43" spans="1:10" hidden="1" x14ac:dyDescent="0.25">
      <c r="A43" s="192"/>
      <c r="B43" s="221"/>
      <c r="C43" s="192"/>
      <c r="D43" s="61">
        <f>'приложение 6'!F779</f>
        <v>850</v>
      </c>
      <c r="E43" s="49" t="str">
        <f>'приложение 6'!D779</f>
        <v>1006</v>
      </c>
      <c r="F43" s="63">
        <f>'приложение 6'!G779</f>
        <v>16.119999999999997</v>
      </c>
      <c r="G43" s="63">
        <v>2.57375</v>
      </c>
      <c r="H43" s="63">
        <v>2.57375</v>
      </c>
      <c r="I43" s="18">
        <f t="shared" si="2"/>
        <v>100</v>
      </c>
      <c r="J43" s="145"/>
    </row>
    <row r="44" spans="1:10" s="134" customFormat="1" ht="28.5" x14ac:dyDescent="0.25">
      <c r="A44" s="135">
        <v>2</v>
      </c>
      <c r="B44" s="141" t="s">
        <v>293</v>
      </c>
      <c r="C44" s="137" t="str">
        <f>'приложение 6'!E367</f>
        <v>0200000000</v>
      </c>
      <c r="D44" s="137"/>
      <c r="E44" s="142"/>
      <c r="F44" s="138">
        <f>F45+F49+F56+F63+F79</f>
        <v>112015.98000000001</v>
      </c>
      <c r="G44" s="138">
        <f>G45+G49+G56+G63</f>
        <v>112015.97099999999</v>
      </c>
      <c r="H44" s="138">
        <f>H45+H49+H56+H63</f>
        <v>105042.48222999999</v>
      </c>
      <c r="I44" s="138">
        <f t="shared" si="2"/>
        <v>93.774558477915633</v>
      </c>
      <c r="J44" s="145"/>
    </row>
    <row r="45" spans="1:10" x14ac:dyDescent="0.25">
      <c r="A45" s="172"/>
      <c r="B45" s="177" t="s">
        <v>584</v>
      </c>
      <c r="C45" s="172" t="str">
        <f>'приложение 6'!E632</f>
        <v>0210000000</v>
      </c>
      <c r="D45" s="172"/>
      <c r="E45" s="39"/>
      <c r="F45" s="18">
        <f>F46+F47+F48</f>
        <v>20450.93</v>
      </c>
      <c r="G45" s="18">
        <f>G46+G47+G48</f>
        <v>20450.924999999999</v>
      </c>
      <c r="H45" s="18">
        <f>H46+H47+H48</f>
        <v>19414.15625</v>
      </c>
      <c r="I45" s="18">
        <f t="shared" si="2"/>
        <v>94.930455468395692</v>
      </c>
      <c r="J45" s="145"/>
    </row>
    <row r="46" spans="1:10" ht="45" hidden="1" x14ac:dyDescent="0.25">
      <c r="A46" s="172"/>
      <c r="B46" s="178" t="s">
        <v>81</v>
      </c>
      <c r="C46" s="172" t="str">
        <f>'приложение 6'!E633</f>
        <v>0210000610</v>
      </c>
      <c r="D46" s="172">
        <v>610</v>
      </c>
      <c r="E46" s="39" t="s">
        <v>152</v>
      </c>
      <c r="F46" s="18">
        <f>'приложение 6'!G635</f>
        <v>13321.779999999999</v>
      </c>
      <c r="G46" s="18">
        <f>13169.94568+151.83432</f>
        <v>13321.78</v>
      </c>
      <c r="H46" s="18">
        <f>12604.03659+111.83432</f>
        <v>12715.87091</v>
      </c>
      <c r="I46" s="18">
        <f t="shared" si="2"/>
        <v>95.451740758367123</v>
      </c>
      <c r="J46" s="145"/>
    </row>
    <row r="47" spans="1:10" ht="30" hidden="1" x14ac:dyDescent="0.25">
      <c r="A47" s="172"/>
      <c r="B47" s="178" t="s">
        <v>84</v>
      </c>
      <c r="C47" s="172" t="str">
        <f>'приложение 6'!E636</f>
        <v>0210000630</v>
      </c>
      <c r="D47" s="172">
        <v>610</v>
      </c>
      <c r="E47" s="39" t="s">
        <v>152</v>
      </c>
      <c r="F47" s="18">
        <f>'приложение 6'!G638</f>
        <v>2797.3799999999997</v>
      </c>
      <c r="G47" s="18">
        <f>2710.48368+86.89632</f>
        <v>2797.3799999999997</v>
      </c>
      <c r="H47" s="18">
        <f>2317.93902+48.58132</f>
        <v>2366.5203399999996</v>
      </c>
      <c r="I47" s="18">
        <f t="shared" si="2"/>
        <v>84.597742887988034</v>
      </c>
      <c r="J47" s="145"/>
    </row>
    <row r="48" spans="1:10" ht="60" hidden="1" x14ac:dyDescent="0.25">
      <c r="A48" s="172"/>
      <c r="B48" s="92" t="s">
        <v>466</v>
      </c>
      <c r="C48" s="39" t="str">
        <f>'приложение 6'!E639</f>
        <v>0210010490</v>
      </c>
      <c r="D48" s="172">
        <v>610</v>
      </c>
      <c r="E48" s="39" t="s">
        <v>152</v>
      </c>
      <c r="F48" s="18">
        <f>'приложение 6'!G641</f>
        <v>4331.7700000000004</v>
      </c>
      <c r="G48" s="18">
        <v>4331.7650000000003</v>
      </c>
      <c r="H48" s="18">
        <v>4331.7650000000003</v>
      </c>
      <c r="I48" s="18">
        <f t="shared" si="2"/>
        <v>100</v>
      </c>
      <c r="J48" s="145"/>
    </row>
    <row r="49" spans="1:10" x14ac:dyDescent="0.25">
      <c r="A49" s="172"/>
      <c r="B49" s="177" t="s">
        <v>585</v>
      </c>
      <c r="C49" s="39" t="s">
        <v>249</v>
      </c>
      <c r="D49" s="172"/>
      <c r="E49" s="39"/>
      <c r="F49" s="18">
        <f>F50+F51+F54+F55+F52+F53</f>
        <v>2288.3199999999997</v>
      </c>
      <c r="G49" s="18">
        <f>G50+G51+G52+G53+G54+G55</f>
        <v>2288.3199999999997</v>
      </c>
      <c r="H49" s="18">
        <f>H50+H51+H52+H53+H54+H55</f>
        <v>2198.5361800000001</v>
      </c>
      <c r="I49" s="18">
        <f t="shared" si="2"/>
        <v>96.076430743951917</v>
      </c>
      <c r="J49" s="145"/>
    </row>
    <row r="50" spans="1:10" hidden="1" x14ac:dyDescent="0.25">
      <c r="A50" s="190"/>
      <c r="B50" s="194" t="s">
        <v>72</v>
      </c>
      <c r="C50" s="190" t="str">
        <f>'приложение 6'!E370</f>
        <v>0220000610</v>
      </c>
      <c r="D50" s="172">
        <v>110</v>
      </c>
      <c r="E50" s="39" t="s">
        <v>124</v>
      </c>
      <c r="F50" s="18">
        <f>'приложение 6'!G371</f>
        <v>1278.1500000000001</v>
      </c>
      <c r="G50" s="18">
        <f>981.685+296.465</f>
        <v>1278.1499999999999</v>
      </c>
      <c r="H50" s="18">
        <f>918.68788+277.4482</f>
        <v>1196.13608</v>
      </c>
      <c r="I50" s="18">
        <f t="shared" si="2"/>
        <v>93.583388491178667</v>
      </c>
      <c r="J50" s="145"/>
    </row>
    <row r="51" spans="1:10" hidden="1" x14ac:dyDescent="0.25">
      <c r="A51" s="193"/>
      <c r="B51" s="195"/>
      <c r="C51" s="193"/>
      <c r="D51" s="172">
        <v>240</v>
      </c>
      <c r="E51" s="39" t="s">
        <v>124</v>
      </c>
      <c r="F51" s="18">
        <f>'приложение 6'!G373</f>
        <v>754.2</v>
      </c>
      <c r="G51" s="18">
        <v>754.2</v>
      </c>
      <c r="H51" s="18">
        <v>753.71091999999999</v>
      </c>
      <c r="I51" s="18">
        <f t="shared" si="2"/>
        <v>99.935152479448419</v>
      </c>
      <c r="J51" s="145"/>
    </row>
    <row r="52" spans="1:10" hidden="1" x14ac:dyDescent="0.25">
      <c r="A52" s="191"/>
      <c r="B52" s="196"/>
      <c r="C52" s="191"/>
      <c r="D52" s="172">
        <v>850</v>
      </c>
      <c r="E52" s="39" t="s">
        <v>124</v>
      </c>
      <c r="F52" s="18">
        <f>'приложение 6'!G375</f>
        <v>0.5</v>
      </c>
      <c r="G52" s="18">
        <v>0.5</v>
      </c>
      <c r="H52" s="18">
        <v>0.35633999999999999</v>
      </c>
      <c r="I52" s="18">
        <f t="shared" si="2"/>
        <v>71.268000000000001</v>
      </c>
      <c r="J52" s="145"/>
    </row>
    <row r="53" spans="1:10" ht="90" hidden="1" x14ac:dyDescent="0.25">
      <c r="A53" s="173"/>
      <c r="B53" s="174" t="s">
        <v>556</v>
      </c>
      <c r="C53" s="171">
        <v>220010380</v>
      </c>
      <c r="D53" s="172">
        <v>110</v>
      </c>
      <c r="E53" s="39" t="s">
        <v>124</v>
      </c>
      <c r="F53" s="18">
        <f>'приложение 6'!G378</f>
        <v>11.23</v>
      </c>
      <c r="G53" s="18">
        <f>8.625+2.605</f>
        <v>11.23</v>
      </c>
      <c r="H53" s="18">
        <f>8.625+2.605</f>
        <v>11.23</v>
      </c>
      <c r="I53" s="18">
        <f t="shared" si="2"/>
        <v>100</v>
      </c>
      <c r="J53" s="145"/>
    </row>
    <row r="54" spans="1:10" hidden="1" x14ac:dyDescent="0.25">
      <c r="A54" s="190"/>
      <c r="B54" s="203" t="s">
        <v>74</v>
      </c>
      <c r="C54" s="192" t="str">
        <f>'приложение 6'!E379</f>
        <v>0220075190</v>
      </c>
      <c r="D54" s="172">
        <v>110</v>
      </c>
      <c r="E54" s="39" t="s">
        <v>124</v>
      </c>
      <c r="F54" s="18">
        <f>'приложение 6'!G381</f>
        <v>201.26999999999998</v>
      </c>
      <c r="G54" s="18">
        <f>154.586+46.684</f>
        <v>201.27</v>
      </c>
      <c r="H54" s="18">
        <f>149.10362+45.02922</f>
        <v>194.13284000000002</v>
      </c>
      <c r="I54" s="18">
        <f t="shared" si="2"/>
        <v>96.453937496894724</v>
      </c>
      <c r="J54" s="145"/>
    </row>
    <row r="55" spans="1:10" hidden="1" x14ac:dyDescent="0.25">
      <c r="A55" s="193"/>
      <c r="B55" s="203"/>
      <c r="C55" s="192"/>
      <c r="D55" s="172">
        <v>240</v>
      </c>
      <c r="E55" s="39" t="s">
        <v>124</v>
      </c>
      <c r="F55" s="18">
        <f>'приложение 6'!G383</f>
        <v>42.97</v>
      </c>
      <c r="G55" s="18">
        <v>42.97</v>
      </c>
      <c r="H55" s="18">
        <v>42.97</v>
      </c>
      <c r="I55" s="18">
        <f t="shared" si="2"/>
        <v>100</v>
      </c>
      <c r="J55" s="145"/>
    </row>
    <row r="56" spans="1:10" x14ac:dyDescent="0.25">
      <c r="A56" s="172"/>
      <c r="B56" s="33" t="s">
        <v>586</v>
      </c>
      <c r="C56" s="39" t="s">
        <v>274</v>
      </c>
      <c r="D56" s="172"/>
      <c r="E56" s="39"/>
      <c r="F56" s="18">
        <f>F57+F58+F59+F60+F61+F62</f>
        <v>56901.320000000007</v>
      </c>
      <c r="G56" s="18">
        <f>G57+G58+G59+G61+G62</f>
        <v>56901.315000000002</v>
      </c>
      <c r="H56" s="18">
        <f>H57+H58+H59+H60+H61+H62</f>
        <v>52987.032720000003</v>
      </c>
      <c r="I56" s="18">
        <f t="shared" si="2"/>
        <v>93.120928259742328</v>
      </c>
      <c r="J56" s="145"/>
    </row>
    <row r="57" spans="1:10" ht="30" hidden="1" x14ac:dyDescent="0.25">
      <c r="A57" s="172"/>
      <c r="B57" s="178" t="s">
        <v>83</v>
      </c>
      <c r="C57" s="172" t="str">
        <f>'приложение 6'!E643</f>
        <v>0230000640</v>
      </c>
      <c r="D57" s="172">
        <v>610</v>
      </c>
      <c r="E57" s="39" t="s">
        <v>152</v>
      </c>
      <c r="F57" s="18">
        <f>'приложение 6'!G645</f>
        <v>10022.030000000001</v>
      </c>
      <c r="G57" s="18">
        <f>9927.01328+95.01672</f>
        <v>10022.029999999999</v>
      </c>
      <c r="H57" s="18">
        <f>9120.36275+95.01672</f>
        <v>9215.3794699999999</v>
      </c>
      <c r="I57" s="18">
        <f t="shared" si="2"/>
        <v>91.95122614879422</v>
      </c>
      <c r="J57" s="145"/>
    </row>
    <row r="58" spans="1:10" ht="30" hidden="1" x14ac:dyDescent="0.25">
      <c r="A58" s="172"/>
      <c r="B58" s="178" t="s">
        <v>87</v>
      </c>
      <c r="C58" s="172" t="str">
        <f>'приложение 6'!E646</f>
        <v>0230000650</v>
      </c>
      <c r="D58" s="172">
        <v>610</v>
      </c>
      <c r="E58" s="39" t="s">
        <v>152</v>
      </c>
      <c r="F58" s="18">
        <f>'приложение 6'!G648</f>
        <v>13770.76</v>
      </c>
      <c r="G58" s="18">
        <f>13712.065+58.695</f>
        <v>13770.76</v>
      </c>
      <c r="H58" s="18">
        <f>10604.66806+58.46019</f>
        <v>10663.12825</v>
      </c>
      <c r="I58" s="18">
        <f t="shared" si="2"/>
        <v>77.433113713404339</v>
      </c>
      <c r="J58" s="145"/>
    </row>
    <row r="59" spans="1:10" ht="30" hidden="1" x14ac:dyDescent="0.25">
      <c r="A59" s="172"/>
      <c r="B59" s="33" t="s">
        <v>88</v>
      </c>
      <c r="C59" s="172" t="str">
        <f>'приложение 6'!E649</f>
        <v>0230000660</v>
      </c>
      <c r="D59" s="172">
        <v>610</v>
      </c>
      <c r="E59" s="39" t="s">
        <v>152</v>
      </c>
      <c r="F59" s="18">
        <f>'приложение 6'!G651</f>
        <v>14003.2</v>
      </c>
      <c r="G59" s="18">
        <v>14003.2</v>
      </c>
      <c r="H59" s="18">
        <v>14003.2</v>
      </c>
      <c r="I59" s="18">
        <f t="shared" si="2"/>
        <v>100</v>
      </c>
      <c r="J59" s="145"/>
    </row>
    <row r="60" spans="1:10" ht="15.75" hidden="1" x14ac:dyDescent="0.25">
      <c r="A60" s="172"/>
      <c r="B60" s="71" t="s">
        <v>330</v>
      </c>
      <c r="C60" s="39" t="s">
        <v>331</v>
      </c>
      <c r="D60" s="172">
        <v>610</v>
      </c>
      <c r="E60" s="39" t="s">
        <v>152</v>
      </c>
      <c r="F60" s="18">
        <f>'приложение 6'!G654</f>
        <v>0</v>
      </c>
      <c r="G60" s="18">
        <v>0</v>
      </c>
      <c r="H60" s="18">
        <v>0</v>
      </c>
      <c r="I60" s="157" t="s">
        <v>571</v>
      </c>
      <c r="J60" s="145"/>
    </row>
    <row r="61" spans="1:10" ht="60" hidden="1" x14ac:dyDescent="0.25">
      <c r="A61" s="172"/>
      <c r="B61" s="92" t="s">
        <v>466</v>
      </c>
      <c r="C61" s="39" t="s">
        <v>468</v>
      </c>
      <c r="D61" s="172">
        <v>610</v>
      </c>
      <c r="E61" s="39" t="s">
        <v>152</v>
      </c>
      <c r="F61" s="18">
        <f>'приложение 6'!G657</f>
        <v>8785.64</v>
      </c>
      <c r="G61" s="18">
        <v>8785.6350000000002</v>
      </c>
      <c r="H61" s="18">
        <v>8785.6350000000002</v>
      </c>
      <c r="I61" s="18">
        <f t="shared" si="2"/>
        <v>100</v>
      </c>
      <c r="J61" s="145"/>
    </row>
    <row r="62" spans="1:10" ht="75" hidden="1" x14ac:dyDescent="0.25">
      <c r="A62" s="172"/>
      <c r="B62" s="80" t="s">
        <v>469</v>
      </c>
      <c r="C62" s="94" t="str">
        <f>'приложение 6'!E660</f>
        <v>02300L4660</v>
      </c>
      <c r="D62" s="172">
        <v>610</v>
      </c>
      <c r="E62" s="39" t="s">
        <v>152</v>
      </c>
      <c r="F62" s="18">
        <f>'приложение 6'!G660</f>
        <v>10319.69</v>
      </c>
      <c r="G62" s="18">
        <f>2321.93+1031.97+6965.79</f>
        <v>10319.689999999999</v>
      </c>
      <c r="H62" s="18">
        <f>2321.93+1031.97+6965.79</f>
        <v>10319.689999999999</v>
      </c>
      <c r="I62" s="18">
        <f t="shared" si="2"/>
        <v>100</v>
      </c>
      <c r="J62" s="145"/>
    </row>
    <row r="63" spans="1:10" ht="30" x14ac:dyDescent="0.25">
      <c r="A63" s="172"/>
      <c r="B63" s="177" t="s">
        <v>587</v>
      </c>
      <c r="C63" s="39" t="s">
        <v>267</v>
      </c>
      <c r="D63" s="172"/>
      <c r="E63" s="39"/>
      <c r="F63" s="18">
        <f>F64+F71+F72+F73+F76+F77+F74+F65+F70+F75+F66+F78+F67+F69+F68</f>
        <v>32375.409999999996</v>
      </c>
      <c r="G63" s="18">
        <f>G64+G65+G66+G67+G68+G69+G70+G71+G72+G73+G74+G75+G76+G77+G78</f>
        <v>32375.410999999993</v>
      </c>
      <c r="H63" s="18">
        <f>H64+H65+H66+H67+H68+H69+H70+H71+H72+H73+H74+H75+H76+H77+H78</f>
        <v>30442.757079999992</v>
      </c>
      <c r="I63" s="18">
        <f t="shared" si="2"/>
        <v>94.030488385151315</v>
      </c>
      <c r="J63" s="145"/>
    </row>
    <row r="64" spans="1:10" hidden="1" x14ac:dyDescent="0.25">
      <c r="A64" s="172"/>
      <c r="B64" s="177" t="s">
        <v>77</v>
      </c>
      <c r="C64" s="172" t="str">
        <f>'приложение 6'!E579</f>
        <v>0240000610</v>
      </c>
      <c r="D64" s="172">
        <v>610</v>
      </c>
      <c r="E64" s="39" t="s">
        <v>224</v>
      </c>
      <c r="F64" s="18">
        <f>'приложение 6'!G581</f>
        <v>25573.74</v>
      </c>
      <c r="G64" s="18">
        <f>25424.90699+148.83301</f>
        <v>25573.739999999998</v>
      </c>
      <c r="H64" s="18">
        <f>24092.46231+85.83598</f>
        <v>24178.298289999999</v>
      </c>
      <c r="I64" s="18">
        <f t="shared" si="2"/>
        <v>94.543458602457051</v>
      </c>
      <c r="J64" s="145"/>
    </row>
    <row r="65" spans="1:10" ht="45" hidden="1" customHeight="1" x14ac:dyDescent="0.25">
      <c r="A65" s="190"/>
      <c r="B65" s="222" t="s">
        <v>443</v>
      </c>
      <c r="C65" s="190" t="s">
        <v>464</v>
      </c>
      <c r="D65" s="172">
        <v>610</v>
      </c>
      <c r="E65" s="39" t="s">
        <v>224</v>
      </c>
      <c r="F65" s="18">
        <f>'приложение 6'!G584</f>
        <v>1158.8</v>
      </c>
      <c r="G65" s="18">
        <v>1158.8</v>
      </c>
      <c r="H65" s="18">
        <v>1158.8</v>
      </c>
      <c r="I65" s="18">
        <f t="shared" si="2"/>
        <v>100</v>
      </c>
      <c r="J65" s="145"/>
    </row>
    <row r="66" spans="1:10" hidden="1" x14ac:dyDescent="0.25">
      <c r="A66" s="191"/>
      <c r="B66" s="223"/>
      <c r="C66" s="191"/>
      <c r="D66" s="172">
        <v>110</v>
      </c>
      <c r="E66" s="39" t="s">
        <v>153</v>
      </c>
      <c r="F66" s="18">
        <f>'приложение 6'!G688</f>
        <v>12.2</v>
      </c>
      <c r="G66" s="18">
        <f>9.37+2.83</f>
        <v>12.2</v>
      </c>
      <c r="H66" s="18">
        <f>9.37+2.83</f>
        <v>12.2</v>
      </c>
      <c r="I66" s="18">
        <f t="shared" si="2"/>
        <v>100</v>
      </c>
      <c r="J66" s="145"/>
    </row>
    <row r="67" spans="1:10" ht="75" hidden="1" x14ac:dyDescent="0.25">
      <c r="A67" s="171"/>
      <c r="B67" s="80" t="s">
        <v>557</v>
      </c>
      <c r="C67" s="171" t="s">
        <v>548</v>
      </c>
      <c r="D67" s="172">
        <v>610</v>
      </c>
      <c r="E67" s="39" t="s">
        <v>224</v>
      </c>
      <c r="F67" s="18">
        <v>23.8</v>
      </c>
      <c r="G67" s="18">
        <v>23.8</v>
      </c>
      <c r="H67" s="18">
        <v>23.8</v>
      </c>
      <c r="I67" s="18">
        <f t="shared" si="2"/>
        <v>100</v>
      </c>
      <c r="J67" s="145"/>
    </row>
    <row r="68" spans="1:10" ht="35.25" hidden="1" customHeight="1" x14ac:dyDescent="0.25">
      <c r="A68" s="190"/>
      <c r="B68" s="227" t="s">
        <v>556</v>
      </c>
      <c r="C68" s="190" t="s">
        <v>549</v>
      </c>
      <c r="D68" s="172">
        <v>110</v>
      </c>
      <c r="E68" s="39" t="s">
        <v>153</v>
      </c>
      <c r="F68" s="18">
        <f>'приложение 6'!G692</f>
        <v>27.69</v>
      </c>
      <c r="G68" s="18">
        <f>21.267+6.426</f>
        <v>27.692999999999998</v>
      </c>
      <c r="H68" s="18">
        <f>21.267+6.426</f>
        <v>27.692999999999998</v>
      </c>
      <c r="I68" s="18">
        <f t="shared" si="2"/>
        <v>100</v>
      </c>
      <c r="J68" s="145"/>
    </row>
    <row r="69" spans="1:10" ht="60.75" hidden="1" customHeight="1" x14ac:dyDescent="0.25">
      <c r="A69" s="191"/>
      <c r="B69" s="228"/>
      <c r="C69" s="191"/>
      <c r="D69" s="172">
        <v>610</v>
      </c>
      <c r="E69" s="39" t="s">
        <v>224</v>
      </c>
      <c r="F69" s="18">
        <v>86.48</v>
      </c>
      <c r="G69" s="18">
        <v>86.477999999999994</v>
      </c>
      <c r="H69" s="18">
        <v>86.477999999999994</v>
      </c>
      <c r="I69" s="18">
        <f t="shared" si="2"/>
        <v>100</v>
      </c>
      <c r="J69" s="145"/>
    </row>
    <row r="70" spans="1:10" ht="45" hidden="1" x14ac:dyDescent="0.25">
      <c r="A70" s="172"/>
      <c r="B70" s="80" t="s">
        <v>462</v>
      </c>
      <c r="C70" s="39" t="s">
        <v>463</v>
      </c>
      <c r="D70" s="172">
        <v>610</v>
      </c>
      <c r="E70" s="39" t="s">
        <v>224</v>
      </c>
      <c r="F70" s="18">
        <f>'приложение 6'!G593</f>
        <v>1300.3</v>
      </c>
      <c r="G70" s="18">
        <v>1300.3</v>
      </c>
      <c r="H70" s="18">
        <v>1300.3</v>
      </c>
      <c r="I70" s="18">
        <f t="shared" si="2"/>
        <v>100</v>
      </c>
      <c r="J70" s="145"/>
    </row>
    <row r="71" spans="1:10" hidden="1" x14ac:dyDescent="0.25">
      <c r="A71" s="192"/>
      <c r="B71" s="221" t="s">
        <v>90</v>
      </c>
      <c r="C71" s="192" t="str">
        <f>'приложение 6'!E680</f>
        <v>0240000610</v>
      </c>
      <c r="D71" s="172">
        <v>110</v>
      </c>
      <c r="E71" s="39" t="s">
        <v>153</v>
      </c>
      <c r="F71" s="18">
        <f>'приложение 6'!G682</f>
        <v>2635.76</v>
      </c>
      <c r="G71" s="18">
        <f>1980+57.8+597.959</f>
        <v>2635.759</v>
      </c>
      <c r="H71" s="18">
        <f>1959.8259+18.6374+557.96505</f>
        <v>2536.4283500000001</v>
      </c>
      <c r="I71" s="18">
        <f t="shared" si="2"/>
        <v>96.231421385642619</v>
      </c>
      <c r="J71" s="145"/>
    </row>
    <row r="72" spans="1:10" hidden="1" x14ac:dyDescent="0.25">
      <c r="A72" s="192"/>
      <c r="B72" s="221"/>
      <c r="C72" s="192"/>
      <c r="D72" s="172">
        <v>240</v>
      </c>
      <c r="E72" s="39" t="s">
        <v>153</v>
      </c>
      <c r="F72" s="18">
        <f>'приложение 6'!G684</f>
        <v>711.93999999999994</v>
      </c>
      <c r="G72" s="18">
        <v>711.94100000000003</v>
      </c>
      <c r="H72" s="18">
        <v>276.04563000000002</v>
      </c>
      <c r="I72" s="18">
        <f t="shared" si="2"/>
        <v>38.773666638106249</v>
      </c>
      <c r="J72" s="145"/>
    </row>
    <row r="73" spans="1:10" hidden="1" x14ac:dyDescent="0.25">
      <c r="A73" s="192"/>
      <c r="B73" s="221"/>
      <c r="C73" s="192"/>
      <c r="D73" s="172">
        <v>850</v>
      </c>
      <c r="E73" s="39" t="s">
        <v>153</v>
      </c>
      <c r="F73" s="18">
        <f>'приложение 6'!G686</f>
        <v>1</v>
      </c>
      <c r="G73" s="18">
        <v>1</v>
      </c>
      <c r="H73" s="18">
        <v>1.456E-2</v>
      </c>
      <c r="I73" s="18">
        <f t="shared" si="2"/>
        <v>1.456</v>
      </c>
      <c r="J73" s="145"/>
    </row>
    <row r="74" spans="1:10" ht="31.5" hidden="1" x14ac:dyDescent="0.25">
      <c r="A74" s="172"/>
      <c r="B74" s="65" t="s">
        <v>424</v>
      </c>
      <c r="C74" s="23" t="s">
        <v>396</v>
      </c>
      <c r="D74" s="172">
        <v>610</v>
      </c>
      <c r="E74" s="39" t="s">
        <v>152</v>
      </c>
      <c r="F74" s="18">
        <f>'приложение 6'!G670</f>
        <v>400</v>
      </c>
      <c r="G74" s="18">
        <v>400</v>
      </c>
      <c r="H74" s="18">
        <v>398.99925000000002</v>
      </c>
      <c r="I74" s="18">
        <f t="shared" si="2"/>
        <v>99.749812500000004</v>
      </c>
      <c r="J74" s="145"/>
    </row>
    <row r="75" spans="1:10" ht="47.25" hidden="1" x14ac:dyDescent="0.25">
      <c r="A75" s="172"/>
      <c r="B75" s="65" t="s">
        <v>470</v>
      </c>
      <c r="C75" s="23" t="s">
        <v>471</v>
      </c>
      <c r="D75" s="172">
        <v>610</v>
      </c>
      <c r="E75" s="39" t="s">
        <v>152</v>
      </c>
      <c r="F75" s="18">
        <f>'приложение 6'!G673</f>
        <v>165.91</v>
      </c>
      <c r="G75" s="18">
        <v>165.91394</v>
      </c>
      <c r="H75" s="18">
        <v>165.91394</v>
      </c>
      <c r="I75" s="18">
        <f t="shared" si="2"/>
        <v>100</v>
      </c>
      <c r="J75" s="145"/>
    </row>
    <row r="76" spans="1:10" ht="15.75" hidden="1" x14ac:dyDescent="0.25">
      <c r="A76" s="172"/>
      <c r="B76" s="71" t="s">
        <v>332</v>
      </c>
      <c r="C76" s="72" t="s">
        <v>333</v>
      </c>
      <c r="D76" s="172">
        <v>610</v>
      </c>
      <c r="E76" s="39" t="s">
        <v>152</v>
      </c>
      <c r="F76" s="18">
        <f>'приложение 6'!G664</f>
        <v>48.29</v>
      </c>
      <c r="G76" s="18">
        <f>27.48606+10.4+10.4</f>
        <v>48.286059999999999</v>
      </c>
      <c r="H76" s="18">
        <f>27.48606+10.4+10.4</f>
        <v>48.286059999999999</v>
      </c>
      <c r="I76" s="18">
        <f>H76/G76*100</f>
        <v>100</v>
      </c>
      <c r="J76" s="145"/>
    </row>
    <row r="77" spans="1:10" ht="15.75" hidden="1" x14ac:dyDescent="0.25">
      <c r="A77" s="172"/>
      <c r="B77" s="71" t="s">
        <v>332</v>
      </c>
      <c r="C77" s="72" t="s">
        <v>517</v>
      </c>
      <c r="D77" s="172">
        <v>610</v>
      </c>
      <c r="E77" s="39" t="s">
        <v>152</v>
      </c>
      <c r="F77" s="18">
        <f>'приложение 6'!G667</f>
        <v>55.5</v>
      </c>
      <c r="G77" s="18">
        <v>55.5</v>
      </c>
      <c r="H77" s="18">
        <v>55.5</v>
      </c>
      <c r="I77" s="18">
        <f t="shared" si="2"/>
        <v>100</v>
      </c>
      <c r="J77" s="145"/>
    </row>
    <row r="78" spans="1:10" ht="45" hidden="1" customHeight="1" x14ac:dyDescent="0.25">
      <c r="A78" s="172"/>
      <c r="B78" s="71" t="s">
        <v>511</v>
      </c>
      <c r="C78" s="72" t="s">
        <v>509</v>
      </c>
      <c r="D78" s="172">
        <v>610</v>
      </c>
      <c r="E78" s="39" t="s">
        <v>152</v>
      </c>
      <c r="F78" s="18">
        <f>'приложение 6'!G674</f>
        <v>174</v>
      </c>
      <c r="G78" s="18">
        <f>35+34+105</f>
        <v>174</v>
      </c>
      <c r="H78" s="18">
        <f>35+34+105</f>
        <v>174</v>
      </c>
      <c r="I78" s="18">
        <f t="shared" si="2"/>
        <v>100</v>
      </c>
      <c r="J78" s="145"/>
    </row>
    <row r="79" spans="1:10" ht="15.75" x14ac:dyDescent="0.25">
      <c r="A79" s="172"/>
      <c r="B79" s="71" t="s">
        <v>588</v>
      </c>
      <c r="C79" s="39" t="s">
        <v>319</v>
      </c>
      <c r="D79" s="172"/>
      <c r="E79" s="39"/>
      <c r="F79" s="18">
        <v>0</v>
      </c>
      <c r="G79" s="18" t="s">
        <v>571</v>
      </c>
      <c r="H79" s="18" t="s">
        <v>571</v>
      </c>
      <c r="I79" s="18" t="s">
        <v>571</v>
      </c>
      <c r="J79" s="145"/>
    </row>
    <row r="80" spans="1:10" s="134" customFormat="1" ht="42.75" x14ac:dyDescent="0.25">
      <c r="A80" s="135">
        <v>3</v>
      </c>
      <c r="B80" s="141" t="s">
        <v>294</v>
      </c>
      <c r="C80" s="142" t="s">
        <v>243</v>
      </c>
      <c r="D80" s="135"/>
      <c r="E80" s="143"/>
      <c r="F80" s="138">
        <f>F81+F88+F107+F113</f>
        <v>594190.31799999997</v>
      </c>
      <c r="G80" s="138">
        <f>G81+G88+G107+G113</f>
        <v>594766.83423999988</v>
      </c>
      <c r="H80" s="138">
        <f>H81+H88+H107+H113</f>
        <v>492218.68999999994</v>
      </c>
      <c r="I80" s="138">
        <f t="shared" si="2"/>
        <v>82.758261164471762</v>
      </c>
      <c r="J80" s="145"/>
    </row>
    <row r="81" spans="1:10" x14ac:dyDescent="0.25">
      <c r="A81" s="172"/>
      <c r="B81" s="177" t="s">
        <v>589</v>
      </c>
      <c r="C81" s="39" t="s">
        <v>253</v>
      </c>
      <c r="D81" s="172"/>
      <c r="E81" s="39"/>
      <c r="F81" s="18">
        <f>F82+F84+F85+F86+F83+F87</f>
        <v>177805.79</v>
      </c>
      <c r="G81" s="18">
        <f>G82+G83+G84+G85+G86+G87</f>
        <v>177805.80511999998</v>
      </c>
      <c r="H81" s="18">
        <f>H82+H83+H84+H85+H86+H87</f>
        <v>171507.82561</v>
      </c>
      <c r="I81" s="18">
        <f t="shared" ref="I81:I83" si="4">H81/G81*100</f>
        <v>96.457944944064394</v>
      </c>
      <c r="J81" s="145"/>
    </row>
    <row r="82" spans="1:10" hidden="1" x14ac:dyDescent="0.25">
      <c r="A82" s="172"/>
      <c r="B82" s="81" t="s">
        <v>77</v>
      </c>
      <c r="C82" s="172" t="str">
        <f>'приложение 6'!E462</f>
        <v>0310000610</v>
      </c>
      <c r="D82" s="172">
        <v>610</v>
      </c>
      <c r="E82" s="39" t="s">
        <v>146</v>
      </c>
      <c r="F82" s="18">
        <f>'приложение 6'!G464</f>
        <v>74831.3</v>
      </c>
      <c r="G82" s="18">
        <f>91.37138+74013.81507+726.12405</f>
        <v>74831.310499999992</v>
      </c>
      <c r="H82" s="18">
        <f>91.37138+67863.51273+725.82405</f>
        <v>68680.708159999995</v>
      </c>
      <c r="I82" s="18">
        <f t="shared" si="4"/>
        <v>91.780710107970108</v>
      </c>
      <c r="J82" s="145"/>
    </row>
    <row r="83" spans="1:10" ht="45" hidden="1" x14ac:dyDescent="0.25">
      <c r="A83" s="172"/>
      <c r="B83" s="177" t="s">
        <v>443</v>
      </c>
      <c r="C83" s="39" t="str">
        <f>'приложение 6'!E466</f>
        <v>0310010210</v>
      </c>
      <c r="D83" s="172">
        <v>610</v>
      </c>
      <c r="E83" s="39" t="s">
        <v>146</v>
      </c>
      <c r="F83" s="18">
        <f>'приложение 6'!G467</f>
        <v>9014.16</v>
      </c>
      <c r="G83" s="18">
        <v>9014.16</v>
      </c>
      <c r="H83" s="18">
        <v>9014.16</v>
      </c>
      <c r="I83" s="18">
        <f t="shared" si="4"/>
        <v>100</v>
      </c>
      <c r="J83" s="145"/>
    </row>
    <row r="84" spans="1:10" ht="105" hidden="1" x14ac:dyDescent="0.25">
      <c r="A84" s="172"/>
      <c r="B84" s="175" t="s">
        <v>183</v>
      </c>
      <c r="C84" s="172" t="str">
        <f>'приложение 6'!E468</f>
        <v>0310074080</v>
      </c>
      <c r="D84" s="172">
        <v>610</v>
      </c>
      <c r="E84" s="39" t="s">
        <v>146</v>
      </c>
      <c r="F84" s="18">
        <f>'приложение 6'!G468</f>
        <v>36033.86</v>
      </c>
      <c r="G84" s="18">
        <f>34154.174+1879.686</f>
        <v>36033.86</v>
      </c>
      <c r="H84" s="18">
        <f>34040.91485+1879.545</f>
        <v>35920.459849999999</v>
      </c>
      <c r="I84" s="18">
        <f>H84/G84*100</f>
        <v>99.685295580323611</v>
      </c>
      <c r="J84" s="145"/>
    </row>
    <row r="85" spans="1:10" ht="105" hidden="1" x14ac:dyDescent="0.25">
      <c r="A85" s="172"/>
      <c r="B85" s="31" t="s">
        <v>184</v>
      </c>
      <c r="C85" s="172" t="str">
        <f>'приложение 6'!E471</f>
        <v>0310075880</v>
      </c>
      <c r="D85" s="172">
        <v>610</v>
      </c>
      <c r="E85" s="39" t="s">
        <v>146</v>
      </c>
      <c r="F85" s="18">
        <f>'приложение 6'!G473</f>
        <v>57228</v>
      </c>
      <c r="G85" s="18">
        <f>55999.32219+1228.67781</f>
        <v>57228</v>
      </c>
      <c r="H85" s="18">
        <f>55999.32219+1194.70131</f>
        <v>57194.023499999996</v>
      </c>
      <c r="I85" s="18">
        <f t="shared" ref="I85:I86" si="5">H85/G85*100</f>
        <v>99.940629586915492</v>
      </c>
      <c r="J85" s="145"/>
    </row>
    <row r="86" spans="1:10" ht="135" hidden="1" x14ac:dyDescent="0.25">
      <c r="A86" s="172"/>
      <c r="B86" s="179" t="s">
        <v>179</v>
      </c>
      <c r="C86" s="172" t="str">
        <f>'приложение 6'!E474</f>
        <v>0310075540</v>
      </c>
      <c r="D86" s="172">
        <v>610</v>
      </c>
      <c r="E86" s="39" t="s">
        <v>146</v>
      </c>
      <c r="F86" s="18">
        <f>'приложение 6'!G476</f>
        <v>336</v>
      </c>
      <c r="G86" s="18">
        <v>336</v>
      </c>
      <c r="H86" s="18">
        <v>335.99948000000001</v>
      </c>
      <c r="I86" s="18">
        <f t="shared" si="5"/>
        <v>99.999845238095247</v>
      </c>
      <c r="J86" s="145"/>
    </row>
    <row r="87" spans="1:10" ht="60" hidden="1" x14ac:dyDescent="0.25">
      <c r="A87" s="172"/>
      <c r="B87" s="95" t="s">
        <v>477</v>
      </c>
      <c r="C87" s="172">
        <v>310077440</v>
      </c>
      <c r="D87" s="172">
        <v>610</v>
      </c>
      <c r="E87" s="39" t="s">
        <v>146</v>
      </c>
      <c r="F87" s="18">
        <f>'приложение 6'!G479</f>
        <v>362.47</v>
      </c>
      <c r="G87" s="18">
        <v>362.47462000000002</v>
      </c>
      <c r="H87" s="18">
        <v>362.47462000000002</v>
      </c>
      <c r="I87" s="18">
        <f>H87/G87*100</f>
        <v>100</v>
      </c>
      <c r="J87" s="145"/>
    </row>
    <row r="88" spans="1:10" x14ac:dyDescent="0.25">
      <c r="A88" s="172"/>
      <c r="B88" s="177" t="s">
        <v>590</v>
      </c>
      <c r="C88" s="39" t="s">
        <v>258</v>
      </c>
      <c r="D88" s="172"/>
      <c r="E88" s="39"/>
      <c r="F88" s="18">
        <f>F89+F93+F95+F100+F103+F102+F104+F96+F98+F90+F94+F101+F99+F97+F105+F92+F106+F91</f>
        <v>373040.37099999998</v>
      </c>
      <c r="G88" s="18">
        <f>G89+G90+G91+G92+G93+G94+G95+G96+G97+G98+G99+G100+G101+G102+G103+G104+G105+G106</f>
        <v>373756.86638000002</v>
      </c>
      <c r="H88" s="18">
        <f>H89+H90+H91+H92+H93+H94+H95+H96+H97+H98+H99+H100+H101+H102+H103+H104+H105+H106</f>
        <v>279228.10936999996</v>
      </c>
      <c r="I88" s="18">
        <f t="shared" ref="I88:I89" si="6">H88/G88*100</f>
        <v>74.708489525409192</v>
      </c>
      <c r="J88" s="145"/>
    </row>
    <row r="89" spans="1:10" hidden="1" x14ac:dyDescent="0.25">
      <c r="A89" s="172"/>
      <c r="B89" s="81" t="s">
        <v>77</v>
      </c>
      <c r="C89" s="172" t="str">
        <f>'приложение 6'!E483</f>
        <v>0320000610</v>
      </c>
      <c r="D89" s="172">
        <v>610</v>
      </c>
      <c r="E89" s="39" t="s">
        <v>147</v>
      </c>
      <c r="F89" s="18">
        <f>'приложение 6'!G485</f>
        <v>99756.18</v>
      </c>
      <c r="G89" s="18">
        <f>99587.97968+168.20032</f>
        <v>99756.180000000008</v>
      </c>
      <c r="H89" s="18">
        <f>86901.40349+168.20032</f>
        <v>87069.603810000001</v>
      </c>
      <c r="I89" s="18">
        <f t="shared" si="6"/>
        <v>87.282415796194286</v>
      </c>
      <c r="J89" s="145"/>
    </row>
    <row r="90" spans="1:10" ht="45" hidden="1" x14ac:dyDescent="0.25">
      <c r="A90" s="172"/>
      <c r="B90" s="177" t="s">
        <v>443</v>
      </c>
      <c r="C90" s="39" t="s">
        <v>473</v>
      </c>
      <c r="D90" s="172">
        <v>610</v>
      </c>
      <c r="E90" s="39" t="s">
        <v>147</v>
      </c>
      <c r="F90" s="18">
        <f>'приложение 6'!G488</f>
        <v>10314.67</v>
      </c>
      <c r="G90" s="18">
        <v>10314.67</v>
      </c>
      <c r="H90" s="18">
        <v>10314.57</v>
      </c>
      <c r="I90" s="18">
        <f>H90/G90*100</f>
        <v>99.99903050703513</v>
      </c>
      <c r="J90" s="145"/>
    </row>
    <row r="91" spans="1:10" ht="90" hidden="1" x14ac:dyDescent="0.25">
      <c r="A91" s="172"/>
      <c r="B91" s="80" t="s">
        <v>563</v>
      </c>
      <c r="C91" s="39" t="s">
        <v>564</v>
      </c>
      <c r="D91" s="172">
        <v>610</v>
      </c>
      <c r="E91" s="39" t="s">
        <v>147</v>
      </c>
      <c r="F91" s="18">
        <f>'приложение 6'!G491</f>
        <v>1591.8</v>
      </c>
      <c r="G91" s="18">
        <v>1591.8</v>
      </c>
      <c r="H91" s="18">
        <v>1591.8</v>
      </c>
      <c r="I91" s="18">
        <f t="shared" ref="I91:I93" si="7">H91/G91*100</f>
        <v>100</v>
      </c>
      <c r="J91" s="145"/>
    </row>
    <row r="92" spans="1:10" ht="75" hidden="1" x14ac:dyDescent="0.25">
      <c r="A92" s="172"/>
      <c r="B92" s="80" t="s">
        <v>557</v>
      </c>
      <c r="C92" s="39" t="s">
        <v>537</v>
      </c>
      <c r="D92" s="172">
        <v>610</v>
      </c>
      <c r="E92" s="39" t="s">
        <v>147</v>
      </c>
      <c r="F92" s="18">
        <f>'приложение 6'!G494</f>
        <v>47.6</v>
      </c>
      <c r="G92" s="18">
        <v>47.6</v>
      </c>
      <c r="H92" s="18">
        <v>22.09254</v>
      </c>
      <c r="I92" s="18">
        <f t="shared" si="7"/>
        <v>46.412899159663858</v>
      </c>
      <c r="J92" s="145"/>
    </row>
    <row r="93" spans="1:10" ht="90" hidden="1" x14ac:dyDescent="0.25">
      <c r="A93" s="172"/>
      <c r="B93" s="59" t="s">
        <v>432</v>
      </c>
      <c r="C93" s="172" t="str">
        <f>'приложение 6'!E497</f>
        <v>0320076490</v>
      </c>
      <c r="D93" s="172">
        <v>610</v>
      </c>
      <c r="E93" s="39" t="s">
        <v>147</v>
      </c>
      <c r="F93" s="18">
        <f>'приложение 6'!G497</f>
        <v>1730</v>
      </c>
      <c r="G93" s="18">
        <v>1730</v>
      </c>
      <c r="H93" s="18">
        <v>1705.8316199999999</v>
      </c>
      <c r="I93" s="18">
        <f t="shared" si="7"/>
        <v>98.602983815028892</v>
      </c>
      <c r="J93" s="145"/>
    </row>
    <row r="94" spans="1:10" ht="60" hidden="1" x14ac:dyDescent="0.25">
      <c r="A94" s="172"/>
      <c r="B94" s="95" t="s">
        <v>477</v>
      </c>
      <c r="C94" s="39" t="s">
        <v>474</v>
      </c>
      <c r="D94" s="172">
        <v>610</v>
      </c>
      <c r="E94" s="39" t="s">
        <v>147</v>
      </c>
      <c r="F94" s="18">
        <f>'приложение 6'!G512</f>
        <v>1142.3309999999999</v>
      </c>
      <c r="G94" s="18">
        <v>1142.32638</v>
      </c>
      <c r="H94" s="18">
        <v>1142.32638</v>
      </c>
      <c r="I94" s="18">
        <f>H94/G94*100</f>
        <v>100</v>
      </c>
      <c r="J94" s="145"/>
    </row>
    <row r="95" spans="1:10" ht="105" hidden="1" x14ac:dyDescent="0.25">
      <c r="A95" s="172"/>
      <c r="B95" s="31" t="s">
        <v>185</v>
      </c>
      <c r="C95" s="172" t="str">
        <f>'приложение 6'!E498</f>
        <v>0320074090</v>
      </c>
      <c r="D95" s="172">
        <v>610</v>
      </c>
      <c r="E95" s="39" t="s">
        <v>147</v>
      </c>
      <c r="F95" s="18">
        <f>'приложение 6'!G500</f>
        <v>31128.84</v>
      </c>
      <c r="G95" s="18">
        <f>30317.2802+811.5598</f>
        <v>31128.84</v>
      </c>
      <c r="H95" s="18">
        <f>30317.2802+811.0698</f>
        <v>31128.350000000002</v>
      </c>
      <c r="I95" s="18">
        <f t="shared" ref="I95:I99" si="8">H95/G95*100</f>
        <v>99.998425897013831</v>
      </c>
      <c r="J95" s="145"/>
    </row>
    <row r="96" spans="1:10" ht="60" hidden="1" customHeight="1" x14ac:dyDescent="0.25">
      <c r="A96" s="190"/>
      <c r="B96" s="188" t="s">
        <v>450</v>
      </c>
      <c r="C96" s="190" t="s">
        <v>454</v>
      </c>
      <c r="D96" s="172">
        <v>410</v>
      </c>
      <c r="E96" s="39" t="s">
        <v>147</v>
      </c>
      <c r="F96" s="18">
        <f>'приложение 6'!G307</f>
        <v>80000</v>
      </c>
      <c r="G96" s="18">
        <v>80000</v>
      </c>
      <c r="H96" s="18">
        <v>0</v>
      </c>
      <c r="I96" s="18">
        <f t="shared" si="8"/>
        <v>0</v>
      </c>
      <c r="J96" s="145"/>
    </row>
    <row r="97" spans="1:10" hidden="1" x14ac:dyDescent="0.25">
      <c r="A97" s="191"/>
      <c r="B97" s="189"/>
      <c r="C97" s="191"/>
      <c r="D97" s="172">
        <v>610</v>
      </c>
      <c r="E97" s="39" t="s">
        <v>147</v>
      </c>
      <c r="F97" s="18">
        <f>'приложение 6'!G501</f>
        <v>3988.1000000000004</v>
      </c>
      <c r="G97" s="18">
        <v>3988.1</v>
      </c>
      <c r="H97" s="18">
        <v>3749.0080499999999</v>
      </c>
      <c r="I97" s="18">
        <f t="shared" si="8"/>
        <v>94.004865725533463</v>
      </c>
      <c r="J97" s="145"/>
    </row>
    <row r="98" spans="1:10" ht="36.75" hidden="1" customHeight="1" x14ac:dyDescent="0.25">
      <c r="A98" s="190"/>
      <c r="B98" s="197" t="s">
        <v>452</v>
      </c>
      <c r="C98" s="190" t="s">
        <v>455</v>
      </c>
      <c r="D98" s="172">
        <v>410</v>
      </c>
      <c r="E98" s="39" t="s">
        <v>147</v>
      </c>
      <c r="F98" s="18">
        <f>'приложение 6'!G310</f>
        <v>808.08</v>
      </c>
      <c r="G98" s="18">
        <v>808.08</v>
      </c>
      <c r="H98" s="18">
        <v>0</v>
      </c>
      <c r="I98" s="18">
        <f t="shared" si="8"/>
        <v>0</v>
      </c>
      <c r="J98" s="145"/>
    </row>
    <row r="99" spans="1:10" ht="36.75" hidden="1" customHeight="1" x14ac:dyDescent="0.25">
      <c r="A99" s="191"/>
      <c r="B99" s="198"/>
      <c r="C99" s="191"/>
      <c r="D99" s="170">
        <v>610</v>
      </c>
      <c r="E99" s="39" t="s">
        <v>147</v>
      </c>
      <c r="F99" s="18">
        <f>'приложение 6'!G506</f>
        <v>311.98</v>
      </c>
      <c r="G99" s="18">
        <v>311.98500000000001</v>
      </c>
      <c r="H99" s="18">
        <v>288.07580999999999</v>
      </c>
      <c r="I99" s="18">
        <f t="shared" si="8"/>
        <v>92.33642963604018</v>
      </c>
      <c r="J99" s="145"/>
    </row>
    <row r="100" spans="1:10" ht="105" hidden="1" customHeight="1" x14ac:dyDescent="0.25">
      <c r="A100" s="190"/>
      <c r="B100" s="201" t="s">
        <v>186</v>
      </c>
      <c r="C100" s="190" t="str">
        <f>'приложение 6'!E507</f>
        <v>0320075640</v>
      </c>
      <c r="D100" s="190">
        <v>610</v>
      </c>
      <c r="E100" s="39" t="s">
        <v>147</v>
      </c>
      <c r="F100" s="18">
        <f>'приложение 6'!G509</f>
        <v>130948.00000000001</v>
      </c>
      <c r="G100" s="18">
        <f>125410.91058+6965.48942</f>
        <v>132376.4</v>
      </c>
      <c r="H100" s="18">
        <f>125410.90998+6924.22104</f>
        <v>132335.13102</v>
      </c>
      <c r="I100" s="18">
        <f>H100/G100*100</f>
        <v>99.968824518569775</v>
      </c>
      <c r="J100" s="145"/>
    </row>
    <row r="101" spans="1:10" hidden="1" x14ac:dyDescent="0.25">
      <c r="A101" s="191"/>
      <c r="B101" s="202"/>
      <c r="C101" s="191"/>
      <c r="D101" s="191"/>
      <c r="E101" s="39" t="s">
        <v>224</v>
      </c>
      <c r="F101" s="18">
        <f>'приложение 6'!G526</f>
        <v>196.19999999999982</v>
      </c>
      <c r="G101" s="150">
        <v>0</v>
      </c>
      <c r="H101" s="150">
        <v>0</v>
      </c>
      <c r="I101" s="150">
        <v>0</v>
      </c>
      <c r="J101" s="145"/>
    </row>
    <row r="102" spans="1:10" hidden="1" x14ac:dyDescent="0.25">
      <c r="A102" s="172"/>
      <c r="B102" s="81" t="s">
        <v>403</v>
      </c>
      <c r="C102" s="23" t="s">
        <v>402</v>
      </c>
      <c r="D102" s="172">
        <v>610</v>
      </c>
      <c r="E102" s="39" t="s">
        <v>147</v>
      </c>
      <c r="F102" s="18">
        <f>'приложение 6'!G518</f>
        <v>418.64</v>
      </c>
      <c r="G102" s="18">
        <v>418.637</v>
      </c>
      <c r="H102" s="18">
        <v>416.87518</v>
      </c>
      <c r="I102" s="18">
        <f t="shared" ref="I102:I105" si="9">H102/G102*100</f>
        <v>99.579153299875543</v>
      </c>
      <c r="J102" s="145"/>
    </row>
    <row r="103" spans="1:10" hidden="1" x14ac:dyDescent="0.25">
      <c r="A103" s="190"/>
      <c r="B103" s="199" t="s">
        <v>182</v>
      </c>
      <c r="C103" s="190" t="str">
        <f>'приложение 6'!E569</f>
        <v>0320075660</v>
      </c>
      <c r="D103" s="172">
        <v>610</v>
      </c>
      <c r="E103" s="39" t="s">
        <v>158</v>
      </c>
      <c r="F103" s="18">
        <f>'приложение 6'!G573</f>
        <v>9066.0999999999985</v>
      </c>
      <c r="G103" s="18">
        <v>8543.4</v>
      </c>
      <c r="H103" s="18">
        <v>8232.5867099999996</v>
      </c>
      <c r="I103" s="18">
        <f t="shared" si="9"/>
        <v>96.361948521665838</v>
      </c>
      <c r="J103" s="145"/>
    </row>
    <row r="104" spans="1:10" hidden="1" x14ac:dyDescent="0.25">
      <c r="A104" s="191"/>
      <c r="B104" s="200"/>
      <c r="C104" s="191"/>
      <c r="D104" s="172">
        <v>320</v>
      </c>
      <c r="E104" s="39" t="s">
        <v>158</v>
      </c>
      <c r="F104" s="18">
        <f>'приложение 6'!G571</f>
        <v>97</v>
      </c>
      <c r="G104" s="18">
        <v>104</v>
      </c>
      <c r="H104" s="18">
        <v>104</v>
      </c>
      <c r="I104" s="18">
        <f t="shared" si="9"/>
        <v>100</v>
      </c>
      <c r="J104" s="145"/>
    </row>
    <row r="105" spans="1:10" ht="60" hidden="1" x14ac:dyDescent="0.25">
      <c r="A105" s="172"/>
      <c r="B105" s="80" t="s">
        <v>493</v>
      </c>
      <c r="C105" s="171" t="s">
        <v>494</v>
      </c>
      <c r="D105" s="172">
        <v>610</v>
      </c>
      <c r="E105" s="39" t="s">
        <v>147</v>
      </c>
      <c r="F105" s="18">
        <f>'приложение 6'!G519</f>
        <v>14.95</v>
      </c>
      <c r="G105" s="18">
        <v>14.948</v>
      </c>
      <c r="H105" s="18">
        <v>11.278219999999999</v>
      </c>
      <c r="I105" s="18">
        <f t="shared" si="9"/>
        <v>75.44969226652394</v>
      </c>
      <c r="J105" s="145"/>
    </row>
    <row r="106" spans="1:10" ht="45" hidden="1" x14ac:dyDescent="0.25">
      <c r="A106" s="172"/>
      <c r="B106" s="80" t="s">
        <v>538</v>
      </c>
      <c r="C106" s="171">
        <v>320078400</v>
      </c>
      <c r="D106" s="172">
        <v>610</v>
      </c>
      <c r="E106" s="39" t="s">
        <v>147</v>
      </c>
      <c r="F106" s="18">
        <f>'приложение 6'!G515</f>
        <v>1479.9</v>
      </c>
      <c r="G106" s="18">
        <v>1479.9</v>
      </c>
      <c r="H106" s="18">
        <v>1116.5800300000001</v>
      </c>
      <c r="I106" s="18">
        <f>H106/G106*100</f>
        <v>75.4496945739577</v>
      </c>
      <c r="J106" s="145"/>
    </row>
    <row r="107" spans="1:10" x14ac:dyDescent="0.25">
      <c r="A107" s="172"/>
      <c r="B107" s="177" t="s">
        <v>591</v>
      </c>
      <c r="C107" s="39" t="s">
        <v>262</v>
      </c>
      <c r="D107" s="172"/>
      <c r="E107" s="39"/>
      <c r="F107" s="18">
        <f>F108+F109+F112+F110+F111</f>
        <v>23198.596999999998</v>
      </c>
      <c r="G107" s="18">
        <f>G108+G109+G110+G111+G112</f>
        <v>23198.598839999999</v>
      </c>
      <c r="H107" s="18">
        <f>H108+H109+H110+H111+H112</f>
        <v>22195.606040000002</v>
      </c>
      <c r="I107" s="18">
        <f t="shared" ref="I107:I111" si="10">H107/G107*100</f>
        <v>95.676494055017685</v>
      </c>
      <c r="J107" s="145"/>
    </row>
    <row r="108" spans="1:10" hidden="1" x14ac:dyDescent="0.25">
      <c r="A108" s="172"/>
      <c r="B108" s="81" t="s">
        <v>77</v>
      </c>
      <c r="C108" s="172" t="str">
        <f>'приложение 6'!E528</f>
        <v>0330000660</v>
      </c>
      <c r="D108" s="172">
        <v>610</v>
      </c>
      <c r="E108" s="39" t="s">
        <v>224</v>
      </c>
      <c r="F108" s="18">
        <f>'приложение 6'!G530</f>
        <v>21147</v>
      </c>
      <c r="G108" s="18">
        <f>20611.174+535.826</f>
        <v>21147</v>
      </c>
      <c r="H108" s="18">
        <f>19611.72517+535.826</f>
        <v>20147.551170000002</v>
      </c>
      <c r="I108" s="18">
        <f t="shared" si="10"/>
        <v>95.273803234501358</v>
      </c>
      <c r="J108" s="145"/>
    </row>
    <row r="109" spans="1:10" ht="45" hidden="1" x14ac:dyDescent="0.25">
      <c r="A109" s="172"/>
      <c r="B109" s="177" t="s">
        <v>443</v>
      </c>
      <c r="C109" s="39" t="s">
        <v>475</v>
      </c>
      <c r="D109" s="172">
        <v>610</v>
      </c>
      <c r="E109" s="39" t="s">
        <v>224</v>
      </c>
      <c r="F109" s="18">
        <f>'приложение 6'!G533</f>
        <v>539.64699999999993</v>
      </c>
      <c r="G109" s="18">
        <v>539.64700000000005</v>
      </c>
      <c r="H109" s="18">
        <v>539.64700000000005</v>
      </c>
      <c r="I109" s="18">
        <f t="shared" si="10"/>
        <v>100</v>
      </c>
      <c r="J109" s="145"/>
    </row>
    <row r="110" spans="1:10" ht="75" hidden="1" x14ac:dyDescent="0.25">
      <c r="A110" s="172"/>
      <c r="B110" s="80" t="s">
        <v>557</v>
      </c>
      <c r="C110" s="39" t="s">
        <v>540</v>
      </c>
      <c r="D110" s="172">
        <v>610</v>
      </c>
      <c r="E110" s="39" t="s">
        <v>224</v>
      </c>
      <c r="F110" s="18">
        <f>'приложение 6'!G536</f>
        <v>23.8</v>
      </c>
      <c r="G110" s="18">
        <v>23.8</v>
      </c>
      <c r="H110" s="18">
        <v>20.256029999999999</v>
      </c>
      <c r="I110" s="18">
        <f t="shared" si="10"/>
        <v>85.109369747899152</v>
      </c>
      <c r="J110" s="145"/>
    </row>
    <row r="111" spans="1:10" ht="45" hidden="1" x14ac:dyDescent="0.25">
      <c r="A111" s="172"/>
      <c r="B111" s="80" t="s">
        <v>462</v>
      </c>
      <c r="C111" s="39" t="s">
        <v>541</v>
      </c>
      <c r="D111" s="172">
        <v>610</v>
      </c>
      <c r="E111" s="39" t="s">
        <v>224</v>
      </c>
      <c r="F111" s="18">
        <f>'приложение 6'!G539</f>
        <v>1300.3</v>
      </c>
      <c r="G111" s="18">
        <v>1300.3</v>
      </c>
      <c r="H111" s="18">
        <v>1300.3</v>
      </c>
      <c r="I111" s="18">
        <f t="shared" si="10"/>
        <v>100</v>
      </c>
      <c r="J111" s="145"/>
    </row>
    <row r="112" spans="1:10" ht="60" hidden="1" x14ac:dyDescent="0.25">
      <c r="A112" s="172"/>
      <c r="B112" s="80" t="s">
        <v>491</v>
      </c>
      <c r="C112" s="39" t="s">
        <v>492</v>
      </c>
      <c r="D112" s="172">
        <v>610</v>
      </c>
      <c r="E112" s="39" t="s">
        <v>224</v>
      </c>
      <c r="F112" s="18">
        <f>'приложение 6'!G540</f>
        <v>187.85</v>
      </c>
      <c r="G112" s="18">
        <v>187.85184000000001</v>
      </c>
      <c r="H112" s="18">
        <v>187.85184000000001</v>
      </c>
      <c r="I112" s="18">
        <f>H112/G112*100</f>
        <v>100</v>
      </c>
      <c r="J112" s="145"/>
    </row>
    <row r="113" spans="1:11" x14ac:dyDescent="0.25">
      <c r="A113" s="172"/>
      <c r="B113" s="177" t="s">
        <v>592</v>
      </c>
      <c r="C113" s="172" t="s">
        <v>65</v>
      </c>
      <c r="D113" s="172"/>
      <c r="E113" s="39"/>
      <c r="F113" s="18">
        <f>F114+F115+F120+F121+F122+F123+F117+F116+F118+F119</f>
        <v>20145.559999999998</v>
      </c>
      <c r="G113" s="18">
        <f>G114+G115+G116+G117+G118+G119+G120+G121+G122+G123</f>
        <v>20005.563899999997</v>
      </c>
      <c r="H113" s="18">
        <f>H114+H115+H116+H117+H118+H119+H120+H121+H122+H123</f>
        <v>19287.148979999998</v>
      </c>
      <c r="I113" s="18">
        <f t="shared" ref="I113:I118" si="11">H113/G113*100</f>
        <v>96.408924419271187</v>
      </c>
      <c r="J113" s="145"/>
    </row>
    <row r="114" spans="1:11" hidden="1" x14ac:dyDescent="0.25">
      <c r="A114" s="190"/>
      <c r="B114" s="194" t="s">
        <v>180</v>
      </c>
      <c r="C114" s="190" t="str">
        <f>'приложение 6'!E546</f>
        <v>0340000610</v>
      </c>
      <c r="D114" s="60">
        <v>110</v>
      </c>
      <c r="E114" s="39" t="s">
        <v>149</v>
      </c>
      <c r="F114" s="18">
        <f>'приложение 6'!G548</f>
        <v>14569.04</v>
      </c>
      <c r="G114" s="18">
        <f>11081.37782+168.81718+3318.845</f>
        <v>14569.039999999999</v>
      </c>
      <c r="H114" s="18">
        <f>11025.55559+162.31781+3220.78854</f>
        <v>14408.66194</v>
      </c>
      <c r="I114" s="18">
        <f t="shared" si="11"/>
        <v>98.899185807712797</v>
      </c>
      <c r="J114" s="145"/>
    </row>
    <row r="115" spans="1:11" hidden="1" x14ac:dyDescent="0.25">
      <c r="A115" s="193"/>
      <c r="B115" s="195"/>
      <c r="C115" s="193"/>
      <c r="D115" s="60">
        <v>240</v>
      </c>
      <c r="E115" s="39" t="s">
        <v>149</v>
      </c>
      <c r="F115" s="18">
        <f>'приложение 6'!G550</f>
        <v>2454.16</v>
      </c>
      <c r="G115" s="18">
        <v>2454.16</v>
      </c>
      <c r="H115" s="18">
        <v>1995.4416200000001</v>
      </c>
      <c r="I115" s="18">
        <f t="shared" si="11"/>
        <v>81.308538155621477</v>
      </c>
      <c r="J115" s="145"/>
    </row>
    <row r="116" spans="1:11" hidden="1" x14ac:dyDescent="0.25">
      <c r="A116" s="193"/>
      <c r="B116" s="195"/>
      <c r="C116" s="193"/>
      <c r="D116" s="60">
        <v>830</v>
      </c>
      <c r="E116" s="39" t="s">
        <v>149</v>
      </c>
      <c r="F116" s="18">
        <f>'приложение 6'!G552</f>
        <v>2</v>
      </c>
      <c r="G116" s="18">
        <v>2</v>
      </c>
      <c r="H116" s="150">
        <v>0</v>
      </c>
      <c r="I116" s="150">
        <f t="shared" si="11"/>
        <v>0</v>
      </c>
      <c r="J116" s="145"/>
    </row>
    <row r="117" spans="1:11" hidden="1" x14ac:dyDescent="0.25">
      <c r="A117" s="191"/>
      <c r="B117" s="196"/>
      <c r="C117" s="191"/>
      <c r="D117" s="60">
        <v>850</v>
      </c>
      <c r="E117" s="39" t="s">
        <v>149</v>
      </c>
      <c r="F117" s="18">
        <f>'приложение 6'!G553</f>
        <v>13</v>
      </c>
      <c r="G117" s="18">
        <f>1+6+6</f>
        <v>13</v>
      </c>
      <c r="H117" s="18">
        <f>1.93981</f>
        <v>1.93981</v>
      </c>
      <c r="I117" s="18">
        <f t="shared" si="11"/>
        <v>14.921615384615386</v>
      </c>
      <c r="J117" s="145"/>
    </row>
    <row r="118" spans="1:11" ht="45" hidden="1" x14ac:dyDescent="0.25">
      <c r="A118" s="88"/>
      <c r="B118" s="89" t="s">
        <v>443</v>
      </c>
      <c r="C118" s="87" t="s">
        <v>476</v>
      </c>
      <c r="D118" s="90">
        <v>110</v>
      </c>
      <c r="E118" s="39" t="s">
        <v>149</v>
      </c>
      <c r="F118" s="18">
        <f>'приложение 6'!G556</f>
        <v>289</v>
      </c>
      <c r="G118" s="18">
        <f>244.307+44.6969</f>
        <v>289.00389999999999</v>
      </c>
      <c r="H118" s="18">
        <f>244.307+44.696</f>
        <v>289.00299999999999</v>
      </c>
      <c r="I118" s="18">
        <f t="shared" si="11"/>
        <v>99.999688585517362</v>
      </c>
      <c r="J118" s="145"/>
    </row>
    <row r="119" spans="1:11" ht="90" hidden="1" x14ac:dyDescent="0.25">
      <c r="A119" s="109"/>
      <c r="B119" s="92" t="s">
        <v>556</v>
      </c>
      <c r="C119" s="107" t="s">
        <v>542</v>
      </c>
      <c r="D119" s="110">
        <v>110</v>
      </c>
      <c r="E119" s="39" t="s">
        <v>149</v>
      </c>
      <c r="F119" s="18">
        <f>'приложение 6'!G559</f>
        <v>140.66999999999999</v>
      </c>
      <c r="G119" s="18">
        <f>108.041+32.629</f>
        <v>140.66999999999999</v>
      </c>
      <c r="H119" s="18">
        <f>108.041+32.629</f>
        <v>140.66999999999999</v>
      </c>
      <c r="I119" s="18">
        <f>H119/G119*100</f>
        <v>100</v>
      </c>
      <c r="J119" s="145"/>
    </row>
    <row r="120" spans="1:11" hidden="1" x14ac:dyDescent="0.25">
      <c r="A120" s="192"/>
      <c r="B120" s="203" t="s">
        <v>190</v>
      </c>
      <c r="C120" s="192" t="str">
        <f>'приложение 6'!E314</f>
        <v>0340075520</v>
      </c>
      <c r="D120" s="60">
        <v>120</v>
      </c>
      <c r="E120" s="39" t="s">
        <v>149</v>
      </c>
      <c r="F120" s="18">
        <f>'приложение 6'!G316</f>
        <v>1233.4199999999998</v>
      </c>
      <c r="G120" s="18">
        <f>904.591+55.643+273.186</f>
        <v>1233.42</v>
      </c>
      <c r="H120" s="18">
        <f>873.40258+23.2+265.6031</f>
        <v>1162.20568</v>
      </c>
      <c r="I120" s="18">
        <f t="shared" ref="I120:I126" si="12">H120/G120*100</f>
        <v>94.226271667396347</v>
      </c>
      <c r="J120" s="145"/>
    </row>
    <row r="121" spans="1:11" hidden="1" x14ac:dyDescent="0.25">
      <c r="A121" s="192"/>
      <c r="B121" s="203"/>
      <c r="C121" s="192"/>
      <c r="D121" s="60">
        <v>240</v>
      </c>
      <c r="E121" s="39" t="s">
        <v>149</v>
      </c>
      <c r="F121" s="18">
        <f>'приложение 6'!G318</f>
        <v>378.27</v>
      </c>
      <c r="G121" s="18">
        <v>378.27</v>
      </c>
      <c r="H121" s="18">
        <v>378.27</v>
      </c>
      <c r="I121" s="18">
        <f t="shared" si="12"/>
        <v>100</v>
      </c>
      <c r="J121" s="145"/>
    </row>
    <row r="122" spans="1:11" hidden="1" x14ac:dyDescent="0.25">
      <c r="A122" s="192"/>
      <c r="B122" s="242" t="s">
        <v>181</v>
      </c>
      <c r="C122" s="192" t="str">
        <f>'приложение 6'!E560</f>
        <v>0340075560</v>
      </c>
      <c r="D122" s="60">
        <v>320</v>
      </c>
      <c r="E122" s="39" t="s">
        <v>149</v>
      </c>
      <c r="F122" s="18">
        <f>'приложение 6'!G562</f>
        <v>1055.44</v>
      </c>
      <c r="G122" s="18">
        <v>912.36</v>
      </c>
      <c r="H122" s="18">
        <v>899.99172999999996</v>
      </c>
      <c r="I122" s="18">
        <f t="shared" si="12"/>
        <v>98.644365162874308</v>
      </c>
      <c r="J122" s="145"/>
    </row>
    <row r="123" spans="1:11" hidden="1" x14ac:dyDescent="0.25">
      <c r="A123" s="192"/>
      <c r="B123" s="242"/>
      <c r="C123" s="192"/>
      <c r="D123" s="60">
        <v>240</v>
      </c>
      <c r="E123" s="39" t="s">
        <v>149</v>
      </c>
      <c r="F123" s="18">
        <f>'приложение 6'!G564</f>
        <v>10.56</v>
      </c>
      <c r="G123" s="18">
        <v>13.64</v>
      </c>
      <c r="H123" s="18">
        <v>10.965199999999999</v>
      </c>
      <c r="I123" s="18">
        <f t="shared" si="12"/>
        <v>80.390029325513197</v>
      </c>
      <c r="J123" s="145"/>
    </row>
    <row r="124" spans="1:11" ht="28.5" x14ac:dyDescent="0.25">
      <c r="A124" s="135">
        <v>4</v>
      </c>
      <c r="B124" s="141" t="s">
        <v>295</v>
      </c>
      <c r="C124" s="142" t="s">
        <v>269</v>
      </c>
      <c r="D124" s="135"/>
      <c r="E124" s="143"/>
      <c r="F124" s="138">
        <f>F125+F132+F136</f>
        <v>5365.2699999999995</v>
      </c>
      <c r="G124" s="138">
        <f>G125+G132+G136</f>
        <v>5365.2722300000005</v>
      </c>
      <c r="H124" s="138">
        <f>H125+H132+H136</f>
        <v>5279.1984199999997</v>
      </c>
      <c r="I124" s="138">
        <f t="shared" si="12"/>
        <v>98.395723342448164</v>
      </c>
      <c r="J124" s="145"/>
      <c r="K124" s="134"/>
    </row>
    <row r="125" spans="1:11" ht="30" x14ac:dyDescent="0.25">
      <c r="A125" s="60"/>
      <c r="B125" s="177" t="s">
        <v>593</v>
      </c>
      <c r="C125" s="39" t="s">
        <v>320</v>
      </c>
      <c r="D125" s="172"/>
      <c r="E125" s="39"/>
      <c r="F125" s="18">
        <f>F126+F129+F130+F131+F127+F128</f>
        <v>5223.03</v>
      </c>
      <c r="G125" s="18">
        <f>G126+G127+G128+G129+G130</f>
        <v>5223.0290000000005</v>
      </c>
      <c r="H125" s="18">
        <f>H126+H127+H128+H129+H130</f>
        <v>5178.0580300000001</v>
      </c>
      <c r="I125" s="18">
        <f t="shared" si="12"/>
        <v>99.138986783339703</v>
      </c>
      <c r="J125" s="145"/>
    </row>
    <row r="126" spans="1:11" ht="30" hidden="1" x14ac:dyDescent="0.25">
      <c r="A126" s="82"/>
      <c r="B126" s="177" t="s">
        <v>405</v>
      </c>
      <c r="C126" s="39" t="s">
        <v>406</v>
      </c>
      <c r="D126" s="172">
        <v>610</v>
      </c>
      <c r="E126" s="39" t="s">
        <v>148</v>
      </c>
      <c r="F126" s="18">
        <f>'приложение 6'!G599</f>
        <v>4689.6000000000004</v>
      </c>
      <c r="G126" s="18">
        <v>4689.6000000000004</v>
      </c>
      <c r="H126" s="18">
        <v>4647.3439500000004</v>
      </c>
      <c r="I126" s="18">
        <f t="shared" si="12"/>
        <v>99.098941274309112</v>
      </c>
      <c r="J126" s="145"/>
    </row>
    <row r="127" spans="1:11" ht="45" hidden="1" x14ac:dyDescent="0.25">
      <c r="A127" s="85"/>
      <c r="B127" s="177" t="s">
        <v>443</v>
      </c>
      <c r="C127" s="39" t="s">
        <v>465</v>
      </c>
      <c r="D127" s="172">
        <v>610</v>
      </c>
      <c r="E127" s="39" t="s">
        <v>148</v>
      </c>
      <c r="F127" s="18">
        <f>'приложение 6'!G602</f>
        <v>73.5</v>
      </c>
      <c r="G127" s="18">
        <v>73.5</v>
      </c>
      <c r="H127" s="18">
        <v>73.5</v>
      </c>
      <c r="I127" s="18">
        <f>H127/G127*100</f>
        <v>100</v>
      </c>
      <c r="J127" s="145"/>
    </row>
    <row r="128" spans="1:11" ht="90" hidden="1" x14ac:dyDescent="0.25">
      <c r="A128" s="110"/>
      <c r="B128" s="92" t="s">
        <v>556</v>
      </c>
      <c r="C128" s="39" t="s">
        <v>545</v>
      </c>
      <c r="D128" s="172">
        <v>610</v>
      </c>
      <c r="E128" s="39" t="s">
        <v>148</v>
      </c>
      <c r="F128" s="18">
        <v>39.69</v>
      </c>
      <c r="G128" s="18">
        <v>39.689</v>
      </c>
      <c r="H128" s="18">
        <v>39.689</v>
      </c>
      <c r="I128" s="18">
        <f t="shared" ref="I128:I134" si="13">H128/G128*100</f>
        <v>100</v>
      </c>
      <c r="J128" s="145"/>
    </row>
    <row r="129" spans="1:11" ht="30" hidden="1" x14ac:dyDescent="0.25">
      <c r="A129" s="82"/>
      <c r="B129" s="180" t="s">
        <v>407</v>
      </c>
      <c r="C129" s="39" t="s">
        <v>408</v>
      </c>
      <c r="D129" s="172">
        <v>610</v>
      </c>
      <c r="E129" s="39" t="s">
        <v>148</v>
      </c>
      <c r="F129" s="18">
        <f>'приложение 6'!G608</f>
        <v>350.2</v>
      </c>
      <c r="G129" s="18">
        <v>350.2</v>
      </c>
      <c r="H129" s="18">
        <v>350.2</v>
      </c>
      <c r="I129" s="18">
        <f t="shared" si="13"/>
        <v>100</v>
      </c>
      <c r="J129" s="145"/>
    </row>
    <row r="130" spans="1:11" ht="30" hidden="1" x14ac:dyDescent="0.25">
      <c r="A130" s="82"/>
      <c r="B130" s="180" t="s">
        <v>427</v>
      </c>
      <c r="C130" s="39" t="s">
        <v>409</v>
      </c>
      <c r="D130" s="172">
        <v>610</v>
      </c>
      <c r="E130" s="39" t="s">
        <v>148</v>
      </c>
      <c r="F130" s="18">
        <f>'приложение 6'!G611</f>
        <v>70.040000000000006</v>
      </c>
      <c r="G130" s="18">
        <v>70.040000000000006</v>
      </c>
      <c r="H130" s="18">
        <v>67.32508</v>
      </c>
      <c r="I130" s="18">
        <f t="shared" si="13"/>
        <v>96.123757852655615</v>
      </c>
      <c r="J130" s="145"/>
    </row>
    <row r="131" spans="1:11" hidden="1" x14ac:dyDescent="0.25">
      <c r="A131" s="82"/>
      <c r="B131" s="80" t="s">
        <v>410</v>
      </c>
      <c r="C131" s="39" t="s">
        <v>411</v>
      </c>
      <c r="D131" s="172">
        <v>610</v>
      </c>
      <c r="E131" s="39" t="s">
        <v>148</v>
      </c>
      <c r="F131" s="18">
        <f>'приложение 6'!G614</f>
        <v>0</v>
      </c>
      <c r="G131" s="157" t="s">
        <v>571</v>
      </c>
      <c r="H131" s="157" t="s">
        <v>571</v>
      </c>
      <c r="I131" s="157" t="s">
        <v>571</v>
      </c>
      <c r="J131" s="145"/>
    </row>
    <row r="132" spans="1:11" ht="30" x14ac:dyDescent="0.25">
      <c r="A132" s="60"/>
      <c r="B132" s="80" t="s">
        <v>594</v>
      </c>
      <c r="C132" s="39" t="s">
        <v>270</v>
      </c>
      <c r="D132" s="172"/>
      <c r="E132" s="39"/>
      <c r="F132" s="18">
        <f>F134+F135+F133</f>
        <v>112.24000000000001</v>
      </c>
      <c r="G132" s="18">
        <f>G133+G134+G135</f>
        <v>112.24323</v>
      </c>
      <c r="H132" s="18">
        <f>H133+H134+H135</f>
        <v>101.14039</v>
      </c>
      <c r="I132" s="18">
        <f t="shared" si="13"/>
        <v>90.1082319174172</v>
      </c>
      <c r="J132" s="145"/>
    </row>
    <row r="133" spans="1:11" ht="45" hidden="1" x14ac:dyDescent="0.25">
      <c r="A133" s="110"/>
      <c r="B133" s="80" t="s">
        <v>546</v>
      </c>
      <c r="C133" s="39" t="s">
        <v>547</v>
      </c>
      <c r="D133" s="172">
        <v>610</v>
      </c>
      <c r="E133" s="39" t="s">
        <v>148</v>
      </c>
      <c r="F133" s="18">
        <f>'приложение 6'!G618</f>
        <v>43.24</v>
      </c>
      <c r="G133" s="18">
        <v>43.243229999999997</v>
      </c>
      <c r="H133" s="18">
        <v>43.243229999999997</v>
      </c>
      <c r="I133" s="18">
        <f t="shared" si="13"/>
        <v>100</v>
      </c>
      <c r="J133" s="145"/>
    </row>
    <row r="134" spans="1:11" ht="30" hidden="1" x14ac:dyDescent="0.25">
      <c r="A134" s="60"/>
      <c r="B134" s="80" t="s">
        <v>413</v>
      </c>
      <c r="C134" s="39" t="s">
        <v>414</v>
      </c>
      <c r="D134" s="172">
        <v>610</v>
      </c>
      <c r="E134" s="39" t="s">
        <v>148</v>
      </c>
      <c r="F134" s="18">
        <f>'приложение 6'!G621</f>
        <v>67.239999999999995</v>
      </c>
      <c r="G134" s="18">
        <v>67.24324</v>
      </c>
      <c r="H134" s="18">
        <v>56.1404</v>
      </c>
      <c r="I134" s="18">
        <f t="shared" si="13"/>
        <v>83.488541004270473</v>
      </c>
      <c r="J134" s="145"/>
    </row>
    <row r="135" spans="1:11" ht="30" hidden="1" x14ac:dyDescent="0.25">
      <c r="A135" s="101"/>
      <c r="B135" s="80" t="s">
        <v>513</v>
      </c>
      <c r="C135" s="39" t="s">
        <v>514</v>
      </c>
      <c r="D135" s="172">
        <v>610</v>
      </c>
      <c r="E135" s="39" t="s">
        <v>148</v>
      </c>
      <c r="F135" s="18">
        <f>'приложение 6'!G624</f>
        <v>1.76</v>
      </c>
      <c r="G135" s="18">
        <v>1.7567600000000001</v>
      </c>
      <c r="H135" s="18">
        <v>1.7567600000000001</v>
      </c>
      <c r="I135" s="18">
        <f>H135/G135*100</f>
        <v>100</v>
      </c>
      <c r="J135" s="145"/>
    </row>
    <row r="136" spans="1:11" ht="45" x14ac:dyDescent="0.25">
      <c r="A136" s="60"/>
      <c r="B136" s="80" t="s">
        <v>595</v>
      </c>
      <c r="C136" s="39" t="s">
        <v>321</v>
      </c>
      <c r="D136" s="172"/>
      <c r="E136" s="39"/>
      <c r="F136" s="18">
        <f>F137</f>
        <v>30</v>
      </c>
      <c r="G136" s="18">
        <f>G137</f>
        <v>30</v>
      </c>
      <c r="H136" s="150">
        <f>H137</f>
        <v>0</v>
      </c>
      <c r="I136" s="150">
        <f t="shared" ref="I136:I149" si="14">H136/G136*100</f>
        <v>0</v>
      </c>
      <c r="J136" s="145"/>
    </row>
    <row r="137" spans="1:11" ht="45" hidden="1" x14ac:dyDescent="0.25">
      <c r="A137" s="60"/>
      <c r="B137" s="80" t="s">
        <v>415</v>
      </c>
      <c r="C137" s="39" t="s">
        <v>416</v>
      </c>
      <c r="D137" s="60">
        <v>610</v>
      </c>
      <c r="E137" s="39" t="s">
        <v>148</v>
      </c>
      <c r="F137" s="18">
        <f>'приложение 6'!G628</f>
        <v>30</v>
      </c>
      <c r="G137" s="18">
        <v>30</v>
      </c>
      <c r="H137" s="150">
        <v>0</v>
      </c>
      <c r="I137" s="150">
        <f t="shared" si="14"/>
        <v>0</v>
      </c>
      <c r="J137" s="145"/>
    </row>
    <row r="138" spans="1:11" ht="28.5" x14ac:dyDescent="0.25">
      <c r="A138" s="135">
        <v>5</v>
      </c>
      <c r="B138" s="141" t="s">
        <v>296</v>
      </c>
      <c r="C138" s="142" t="s">
        <v>225</v>
      </c>
      <c r="D138" s="137"/>
      <c r="E138" s="142"/>
      <c r="F138" s="138">
        <f>F139+F143</f>
        <v>118087.726</v>
      </c>
      <c r="G138" s="138">
        <f>G139+G143</f>
        <v>118087.72785</v>
      </c>
      <c r="H138" s="138">
        <f>H139+H143</f>
        <v>104671.75977</v>
      </c>
      <c r="I138" s="138">
        <f t="shared" si="14"/>
        <v>88.638981946505467</v>
      </c>
      <c r="J138" s="145"/>
      <c r="K138" s="134"/>
    </row>
    <row r="139" spans="1:11" ht="45" x14ac:dyDescent="0.25">
      <c r="A139" s="60"/>
      <c r="B139" s="177" t="s">
        <v>596</v>
      </c>
      <c r="C139" s="39" t="s">
        <v>231</v>
      </c>
      <c r="D139" s="172"/>
      <c r="E139" s="39"/>
      <c r="F139" s="18">
        <f>F140+F141+F142</f>
        <v>104244.166</v>
      </c>
      <c r="G139" s="18">
        <f>G140+G141+G142</f>
        <v>104244.16785</v>
      </c>
      <c r="H139" s="18">
        <f>H140+H141+H142</f>
        <v>91112.971000000005</v>
      </c>
      <c r="I139" s="18">
        <f t="shared" si="14"/>
        <v>87.403423020369956</v>
      </c>
      <c r="J139" s="145"/>
    </row>
    <row r="140" spans="1:11" ht="45" hidden="1" x14ac:dyDescent="0.25">
      <c r="A140" s="60"/>
      <c r="B140" s="126" t="s">
        <v>32</v>
      </c>
      <c r="C140" s="172" t="str">
        <f>'приложение 6'!E132</f>
        <v>0510076010</v>
      </c>
      <c r="D140" s="172">
        <v>510</v>
      </c>
      <c r="E140" s="39" t="s">
        <v>161</v>
      </c>
      <c r="F140" s="18">
        <f>'приложение 6'!G134</f>
        <v>12156.2</v>
      </c>
      <c r="G140" s="18">
        <v>12156.2</v>
      </c>
      <c r="H140" s="18">
        <v>12156.2</v>
      </c>
      <c r="I140" s="18">
        <f t="shared" si="14"/>
        <v>100</v>
      </c>
      <c r="J140" s="145"/>
    </row>
    <row r="141" spans="1:11" ht="45" hidden="1" x14ac:dyDescent="0.25">
      <c r="A141" s="60"/>
      <c r="B141" s="126" t="s">
        <v>34</v>
      </c>
      <c r="C141" s="172" t="str">
        <f>'приложение 6'!E135</f>
        <v>0510050010</v>
      </c>
      <c r="D141" s="172">
        <v>510</v>
      </c>
      <c r="E141" s="39" t="s">
        <v>161</v>
      </c>
      <c r="F141" s="18">
        <f>'приложение 6'!G137</f>
        <v>16841.473000000002</v>
      </c>
      <c r="G141" s="18">
        <v>16841.47</v>
      </c>
      <c r="H141" s="18">
        <v>16841.47</v>
      </c>
      <c r="I141" s="18">
        <f t="shared" si="14"/>
        <v>100</v>
      </c>
      <c r="J141" s="145"/>
    </row>
    <row r="142" spans="1:11" ht="45" hidden="1" x14ac:dyDescent="0.25">
      <c r="A142" s="60"/>
      <c r="B142" s="126" t="s">
        <v>35</v>
      </c>
      <c r="C142" s="172" t="str">
        <f>'приложение 6'!E141</f>
        <v>0510050030</v>
      </c>
      <c r="D142" s="172">
        <v>540</v>
      </c>
      <c r="E142" s="39" t="s">
        <v>162</v>
      </c>
      <c r="F142" s="18">
        <f>'приложение 6'!G143</f>
        <v>75246.493000000002</v>
      </c>
      <c r="G142" s="18">
        <v>75246.49785</v>
      </c>
      <c r="H142" s="18">
        <v>62115.300999999999</v>
      </c>
      <c r="I142" s="18">
        <f t="shared" si="14"/>
        <v>82.549092349551785</v>
      </c>
      <c r="J142" s="145"/>
    </row>
    <row r="143" spans="1:11" ht="30" x14ac:dyDescent="0.25">
      <c r="A143" s="60"/>
      <c r="B143" s="177" t="s">
        <v>597</v>
      </c>
      <c r="C143" s="23" t="s">
        <v>226</v>
      </c>
      <c r="D143" s="22"/>
      <c r="E143" s="23"/>
      <c r="F143" s="18">
        <f>F144+F145+F146+F147</f>
        <v>13843.56</v>
      </c>
      <c r="G143" s="18">
        <f>G144+G145+G146+G147</f>
        <v>13843.56</v>
      </c>
      <c r="H143" s="18">
        <f>H144+H145+H146+H147</f>
        <v>13558.788769999999</v>
      </c>
      <c r="I143" s="18">
        <f t="shared" si="14"/>
        <v>97.942933537327107</v>
      </c>
      <c r="J143" s="145"/>
    </row>
    <row r="144" spans="1:11" hidden="1" x14ac:dyDescent="0.25">
      <c r="A144" s="190"/>
      <c r="B144" s="229" t="s">
        <v>189</v>
      </c>
      <c r="C144" s="190" t="str">
        <f>'приложение 6'!E26</f>
        <v>0520000210</v>
      </c>
      <c r="D144" s="60">
        <v>120</v>
      </c>
      <c r="E144" s="39" t="s">
        <v>122</v>
      </c>
      <c r="F144" s="18">
        <f>'приложение 6'!G28</f>
        <v>11793.58</v>
      </c>
      <c r="G144" s="18">
        <f>8972.07986+112.4+2709.10014</f>
        <v>11793.58</v>
      </c>
      <c r="H144" s="18">
        <f>8869.84875+107.80402+2676.60504</f>
        <v>11654.257809999999</v>
      </c>
      <c r="I144" s="18">
        <f t="shared" si="14"/>
        <v>98.818660745931254</v>
      </c>
      <c r="J144" s="145"/>
    </row>
    <row r="145" spans="1:11" hidden="1" x14ac:dyDescent="0.25">
      <c r="A145" s="193"/>
      <c r="B145" s="230"/>
      <c r="C145" s="193"/>
      <c r="D145" s="60">
        <v>240</v>
      </c>
      <c r="E145" s="39" t="s">
        <v>122</v>
      </c>
      <c r="F145" s="18">
        <f>'приложение 6'!G30</f>
        <v>1798.1799999999998</v>
      </c>
      <c r="G145" s="18">
        <v>1798.18</v>
      </c>
      <c r="H145" s="18">
        <v>1656.6682499999999</v>
      </c>
      <c r="I145" s="18">
        <f t="shared" si="14"/>
        <v>92.130278948714803</v>
      </c>
      <c r="J145" s="145"/>
    </row>
    <row r="146" spans="1:11" hidden="1" x14ac:dyDescent="0.25">
      <c r="A146" s="191"/>
      <c r="B146" s="231"/>
      <c r="C146" s="191"/>
      <c r="D146" s="60">
        <v>850</v>
      </c>
      <c r="E146" s="39" t="s">
        <v>122</v>
      </c>
      <c r="F146" s="18">
        <f>'приложение 6'!G32</f>
        <v>5</v>
      </c>
      <c r="G146" s="18">
        <v>5</v>
      </c>
      <c r="H146" s="18">
        <v>1.06271</v>
      </c>
      <c r="I146" s="18">
        <f t="shared" si="14"/>
        <v>21.254200000000001</v>
      </c>
      <c r="J146" s="145"/>
    </row>
    <row r="147" spans="1:11" ht="45" hidden="1" x14ac:dyDescent="0.25">
      <c r="A147" s="84"/>
      <c r="B147" s="86" t="s">
        <v>443</v>
      </c>
      <c r="C147" s="84">
        <v>520010210</v>
      </c>
      <c r="D147" s="85">
        <v>120</v>
      </c>
      <c r="E147" s="39" t="s">
        <v>122</v>
      </c>
      <c r="F147" s="18">
        <f>'приложение 6'!G25</f>
        <v>246.8</v>
      </c>
      <c r="G147" s="18">
        <f>181.653+65.147</f>
        <v>246.8</v>
      </c>
      <c r="H147" s="18">
        <f>181.653+65.147</f>
        <v>246.8</v>
      </c>
      <c r="I147" s="18">
        <f t="shared" si="14"/>
        <v>100</v>
      </c>
      <c r="J147" s="145"/>
    </row>
    <row r="148" spans="1:11" ht="28.5" x14ac:dyDescent="0.25">
      <c r="A148" s="135">
        <v>6</v>
      </c>
      <c r="B148" s="141" t="s">
        <v>297</v>
      </c>
      <c r="C148" s="142" t="s">
        <v>235</v>
      </c>
      <c r="D148" s="137"/>
      <c r="E148" s="142"/>
      <c r="F148" s="138">
        <f>F149+F154+F159</f>
        <v>4627.97</v>
      </c>
      <c r="G148" s="138">
        <f>G149+G154+G159</f>
        <v>4627.9699999999993</v>
      </c>
      <c r="H148" s="138">
        <f>H149+H154+H159</f>
        <v>4416.4666399999996</v>
      </c>
      <c r="I148" s="138">
        <f t="shared" si="14"/>
        <v>95.429889130655567</v>
      </c>
      <c r="J148" s="169"/>
      <c r="K148" s="151"/>
    </row>
    <row r="149" spans="1:11" x14ac:dyDescent="0.25">
      <c r="A149" s="60"/>
      <c r="B149" s="177" t="s">
        <v>599</v>
      </c>
      <c r="C149" s="39" t="s">
        <v>236</v>
      </c>
      <c r="D149" s="172"/>
      <c r="E149" s="39"/>
      <c r="F149" s="18">
        <f>F150+F153</f>
        <v>786.5</v>
      </c>
      <c r="G149" s="18">
        <f>G150+G153</f>
        <v>786.5</v>
      </c>
      <c r="H149" s="18">
        <f>H150+H153</f>
        <v>650</v>
      </c>
      <c r="I149" s="18">
        <f t="shared" si="14"/>
        <v>82.644628099173559</v>
      </c>
      <c r="J149" s="145"/>
    </row>
    <row r="150" spans="1:11" hidden="1" x14ac:dyDescent="0.25">
      <c r="A150" s="192"/>
      <c r="B150" s="221" t="s">
        <v>558</v>
      </c>
      <c r="C150" s="192" t="s">
        <v>380</v>
      </c>
      <c r="D150" s="190">
        <v>240</v>
      </c>
      <c r="E150" s="207" t="s">
        <v>124</v>
      </c>
      <c r="F150" s="210">
        <f>'приложение 6'!G453</f>
        <v>581</v>
      </c>
      <c r="G150" s="210">
        <v>581</v>
      </c>
      <c r="H150" s="211">
        <v>581</v>
      </c>
      <c r="I150" s="204">
        <f>H150/G150*100</f>
        <v>100</v>
      </c>
      <c r="J150" s="145"/>
    </row>
    <row r="151" spans="1:11" hidden="1" x14ac:dyDescent="0.25">
      <c r="A151" s="192"/>
      <c r="B151" s="221"/>
      <c r="C151" s="192"/>
      <c r="D151" s="193"/>
      <c r="E151" s="208"/>
      <c r="F151" s="193"/>
      <c r="G151" s="193"/>
      <c r="H151" s="212"/>
      <c r="I151" s="205"/>
      <c r="J151" s="145"/>
    </row>
    <row r="152" spans="1:11" hidden="1" x14ac:dyDescent="0.25">
      <c r="A152" s="192"/>
      <c r="B152" s="221"/>
      <c r="C152" s="192"/>
      <c r="D152" s="191"/>
      <c r="E152" s="209"/>
      <c r="F152" s="191"/>
      <c r="G152" s="191"/>
      <c r="H152" s="213"/>
      <c r="I152" s="206"/>
      <c r="J152" s="145"/>
    </row>
    <row r="153" spans="1:11" hidden="1" x14ac:dyDescent="0.25">
      <c r="A153" s="60"/>
      <c r="B153" s="177" t="s">
        <v>441</v>
      </c>
      <c r="C153" s="39" t="s">
        <v>381</v>
      </c>
      <c r="D153" s="172">
        <v>240</v>
      </c>
      <c r="E153" s="39" t="s">
        <v>124</v>
      </c>
      <c r="F153" s="18">
        <f>'приложение 6'!G456</f>
        <v>205.5</v>
      </c>
      <c r="G153" s="18">
        <v>205.5</v>
      </c>
      <c r="H153" s="18">
        <v>69</v>
      </c>
      <c r="I153" s="18">
        <f>H153/G153*100</f>
        <v>33.576642335766422</v>
      </c>
      <c r="J153" s="145"/>
    </row>
    <row r="154" spans="1:11" x14ac:dyDescent="0.25">
      <c r="A154" s="192"/>
      <c r="B154" s="194" t="s">
        <v>600</v>
      </c>
      <c r="C154" s="207" t="s">
        <v>252</v>
      </c>
      <c r="D154" s="190"/>
      <c r="E154" s="190"/>
      <c r="F154" s="210">
        <f>F157+F158</f>
        <v>3541.4700000000003</v>
      </c>
      <c r="G154" s="210">
        <f>G157+G158</f>
        <v>3541.47</v>
      </c>
      <c r="H154" s="210">
        <f>H157+H158</f>
        <v>3466.4666399999996</v>
      </c>
      <c r="I154" s="204">
        <f>H154/G154*100</f>
        <v>97.882140467094175</v>
      </c>
      <c r="J154" s="145"/>
    </row>
    <row r="155" spans="1:11" x14ac:dyDescent="0.25">
      <c r="A155" s="192"/>
      <c r="B155" s="195"/>
      <c r="C155" s="208"/>
      <c r="D155" s="193"/>
      <c r="E155" s="193"/>
      <c r="F155" s="193"/>
      <c r="G155" s="193"/>
      <c r="H155" s="216"/>
      <c r="I155" s="205"/>
      <c r="J155" s="145"/>
    </row>
    <row r="156" spans="1:11" x14ac:dyDescent="0.25">
      <c r="A156" s="192"/>
      <c r="B156" s="196"/>
      <c r="C156" s="209"/>
      <c r="D156" s="191"/>
      <c r="E156" s="191"/>
      <c r="F156" s="191"/>
      <c r="G156" s="191"/>
      <c r="H156" s="217"/>
      <c r="I156" s="206"/>
      <c r="J156" s="145"/>
    </row>
    <row r="157" spans="1:11" ht="45" hidden="1" x14ac:dyDescent="0.25">
      <c r="A157" s="101"/>
      <c r="B157" s="80" t="s">
        <v>496</v>
      </c>
      <c r="C157" s="176" t="s">
        <v>497</v>
      </c>
      <c r="D157" s="171">
        <v>540</v>
      </c>
      <c r="E157" s="39" t="s">
        <v>392</v>
      </c>
      <c r="F157" s="171">
        <f>'приложение 6'!G109</f>
        <v>1681.35</v>
      </c>
      <c r="G157" s="102">
        <v>1681.35</v>
      </c>
      <c r="H157" s="102">
        <v>1606.3496399999999</v>
      </c>
      <c r="I157" s="146">
        <f>H157/G157*100</f>
        <v>95.539277366402004</v>
      </c>
      <c r="J157" s="145"/>
    </row>
    <row r="158" spans="1:11" ht="45" hidden="1" x14ac:dyDescent="0.25">
      <c r="A158" s="101"/>
      <c r="B158" s="80" t="s">
        <v>498</v>
      </c>
      <c r="C158" s="176" t="s">
        <v>503</v>
      </c>
      <c r="D158" s="171">
        <v>540</v>
      </c>
      <c r="E158" s="39" t="s">
        <v>392</v>
      </c>
      <c r="F158" s="171">
        <f>'приложение 6'!G113</f>
        <v>1860.1200000000001</v>
      </c>
      <c r="G158" s="102">
        <f>18.42+1749.61504+92.08496</f>
        <v>1860.12</v>
      </c>
      <c r="H158" s="102">
        <f>18.417+1749.61504+92.08496</f>
        <v>1860.1169999999997</v>
      </c>
      <c r="I158" s="146">
        <f t="shared" ref="I158:I159" si="15">H158/G158*100</f>
        <v>99.999838720082565</v>
      </c>
      <c r="J158" s="145"/>
    </row>
    <row r="159" spans="1:11" ht="45" x14ac:dyDescent="0.25">
      <c r="A159" s="62"/>
      <c r="B159" s="177" t="s">
        <v>598</v>
      </c>
      <c r="C159" s="39" t="s">
        <v>397</v>
      </c>
      <c r="D159" s="172"/>
      <c r="E159" s="39"/>
      <c r="F159" s="18">
        <f>F160</f>
        <v>300</v>
      </c>
      <c r="G159" s="18">
        <f>G160</f>
        <v>300</v>
      </c>
      <c r="H159" s="18">
        <f>H160</f>
        <v>300</v>
      </c>
      <c r="I159" s="146">
        <f t="shared" si="15"/>
        <v>100</v>
      </c>
      <c r="J159" s="145"/>
    </row>
    <row r="160" spans="1:11" hidden="1" x14ac:dyDescent="0.25">
      <c r="A160" s="190"/>
      <c r="B160" s="194" t="s">
        <v>383</v>
      </c>
      <c r="C160" s="190" t="s">
        <v>351</v>
      </c>
      <c r="D160" s="190">
        <v>540</v>
      </c>
      <c r="E160" s="207" t="s">
        <v>133</v>
      </c>
      <c r="F160" s="210">
        <f>'приложение 6'!G70</f>
        <v>300</v>
      </c>
      <c r="G160" s="210">
        <v>300</v>
      </c>
      <c r="H160" s="210">
        <v>300</v>
      </c>
      <c r="I160" s="204">
        <f>H160/G160*100</f>
        <v>100</v>
      </c>
      <c r="J160" s="145"/>
    </row>
    <row r="161" spans="1:10" hidden="1" x14ac:dyDescent="0.25">
      <c r="A161" s="193"/>
      <c r="B161" s="195"/>
      <c r="C161" s="193"/>
      <c r="D161" s="193"/>
      <c r="E161" s="208"/>
      <c r="F161" s="193"/>
      <c r="G161" s="193"/>
      <c r="H161" s="214"/>
      <c r="I161" s="205"/>
      <c r="J161" s="145"/>
    </row>
    <row r="162" spans="1:10" hidden="1" x14ac:dyDescent="0.25">
      <c r="A162" s="191"/>
      <c r="B162" s="196"/>
      <c r="C162" s="191"/>
      <c r="D162" s="191"/>
      <c r="E162" s="209"/>
      <c r="F162" s="191"/>
      <c r="G162" s="191"/>
      <c r="H162" s="215"/>
      <c r="I162" s="206"/>
      <c r="J162" s="145"/>
    </row>
    <row r="163" spans="1:10" s="134" customFormat="1" ht="57" x14ac:dyDescent="0.25">
      <c r="A163" s="135">
        <v>7</v>
      </c>
      <c r="B163" s="141" t="s">
        <v>298</v>
      </c>
      <c r="C163" s="142" t="s">
        <v>228</v>
      </c>
      <c r="D163" s="135"/>
      <c r="E163" s="143"/>
      <c r="F163" s="138">
        <f>F164+F166+F167+F169</f>
        <v>63662.1</v>
      </c>
      <c r="G163" s="138">
        <f>G167+G169</f>
        <v>63662.1</v>
      </c>
      <c r="H163" s="138">
        <f>H167+H169</f>
        <v>55026.539850000001</v>
      </c>
      <c r="I163" s="152">
        <f>H163/G163*100</f>
        <v>86.435319994156657</v>
      </c>
      <c r="J163" s="145"/>
    </row>
    <row r="164" spans="1:10" x14ac:dyDescent="0.25">
      <c r="A164" s="60"/>
      <c r="B164" s="177" t="s">
        <v>601</v>
      </c>
      <c r="C164" s="39" t="s">
        <v>229</v>
      </c>
      <c r="D164" s="172"/>
      <c r="E164" s="39"/>
      <c r="F164" s="157">
        <f>F165</f>
        <v>0</v>
      </c>
      <c r="G164" s="157" t="s">
        <v>571</v>
      </c>
      <c r="H164" s="157" t="s">
        <v>571</v>
      </c>
      <c r="I164" s="155" t="s">
        <v>571</v>
      </c>
      <c r="J164" s="145"/>
    </row>
    <row r="165" spans="1:10" ht="45" hidden="1" x14ac:dyDescent="0.25">
      <c r="A165" s="83"/>
      <c r="B165" s="177" t="s">
        <v>555</v>
      </c>
      <c r="C165" s="23" t="s">
        <v>442</v>
      </c>
      <c r="D165" s="172">
        <v>540</v>
      </c>
      <c r="E165" s="39" t="s">
        <v>142</v>
      </c>
      <c r="F165" s="157">
        <f>'приложение 6'!G105</f>
        <v>0</v>
      </c>
      <c r="G165" s="157">
        <v>0</v>
      </c>
      <c r="H165" s="157">
        <v>0</v>
      </c>
      <c r="I165" s="155" t="s">
        <v>571</v>
      </c>
      <c r="J165" s="145"/>
    </row>
    <row r="166" spans="1:10" ht="30" x14ac:dyDescent="0.25">
      <c r="A166" s="60"/>
      <c r="B166" s="177" t="s">
        <v>602</v>
      </c>
      <c r="C166" s="39" t="s">
        <v>322</v>
      </c>
      <c r="D166" s="172"/>
      <c r="E166" s="39"/>
      <c r="F166" s="157">
        <v>0</v>
      </c>
      <c r="G166" s="157" t="s">
        <v>571</v>
      </c>
      <c r="H166" s="157" t="s">
        <v>571</v>
      </c>
      <c r="I166" s="155" t="s">
        <v>571</v>
      </c>
      <c r="J166" s="145"/>
    </row>
    <row r="167" spans="1:10" ht="30" x14ac:dyDescent="0.25">
      <c r="A167" s="60"/>
      <c r="B167" s="177" t="s">
        <v>603</v>
      </c>
      <c r="C167" s="39" t="s">
        <v>230</v>
      </c>
      <c r="D167" s="172"/>
      <c r="E167" s="39"/>
      <c r="F167" s="18">
        <f>F168</f>
        <v>5340</v>
      </c>
      <c r="G167" s="18">
        <f>G168</f>
        <v>5340</v>
      </c>
      <c r="H167" s="18">
        <f>H168</f>
        <v>5340</v>
      </c>
      <c r="I167" s="147">
        <f>H167/G167*100</f>
        <v>100</v>
      </c>
      <c r="J167" s="145"/>
    </row>
    <row r="168" spans="1:10" ht="120" hidden="1" x14ac:dyDescent="0.25">
      <c r="A168" s="101"/>
      <c r="B168" s="80" t="s">
        <v>507</v>
      </c>
      <c r="C168" s="39" t="s">
        <v>502</v>
      </c>
      <c r="D168" s="172">
        <v>540</v>
      </c>
      <c r="E168" s="39" t="s">
        <v>501</v>
      </c>
      <c r="F168" s="18">
        <f>'приложение 6'!G120</f>
        <v>5340</v>
      </c>
      <c r="G168" s="18">
        <v>5340</v>
      </c>
      <c r="H168" s="18">
        <v>5340</v>
      </c>
      <c r="I168" s="147">
        <f>H168/G168*100</f>
        <v>100</v>
      </c>
      <c r="J168" s="145"/>
    </row>
    <row r="169" spans="1:10" x14ac:dyDescent="0.25">
      <c r="A169" s="60"/>
      <c r="B169" s="19" t="s">
        <v>168</v>
      </c>
      <c r="C169" s="39" t="s">
        <v>240</v>
      </c>
      <c r="D169" s="172"/>
      <c r="E169" s="39"/>
      <c r="F169" s="18">
        <f>F170+F171</f>
        <v>58322.1</v>
      </c>
      <c r="G169" s="18">
        <f>G170+G171</f>
        <v>58322.1</v>
      </c>
      <c r="H169" s="18">
        <f>H170+H171</f>
        <v>49686.539850000001</v>
      </c>
      <c r="I169" s="147">
        <f t="shared" ref="I169:I170" si="16">H169/G169*100</f>
        <v>85.193331258648101</v>
      </c>
      <c r="J169" s="145"/>
    </row>
    <row r="170" spans="1:10" ht="45" x14ac:dyDescent="0.25">
      <c r="A170" s="60"/>
      <c r="B170" s="182" t="s">
        <v>386</v>
      </c>
      <c r="C170" s="172" t="str">
        <f>'приложение 6'!E295</f>
        <v>0790075770</v>
      </c>
      <c r="D170" s="172">
        <v>810</v>
      </c>
      <c r="E170" s="39" t="s">
        <v>142</v>
      </c>
      <c r="F170" s="18">
        <f>'приложение 6'!G297</f>
        <v>22966.400000000001</v>
      </c>
      <c r="G170" s="18">
        <v>22966.400000000001</v>
      </c>
      <c r="H170" s="18">
        <v>22966.222000000002</v>
      </c>
      <c r="I170" s="147">
        <f t="shared" si="16"/>
        <v>99.999224954716453</v>
      </c>
      <c r="J170" s="145"/>
    </row>
    <row r="171" spans="1:10" ht="30" x14ac:dyDescent="0.25">
      <c r="A171" s="60"/>
      <c r="B171" s="182" t="s">
        <v>362</v>
      </c>
      <c r="C171" s="172" t="str">
        <f>'приложение 6'!E298</f>
        <v>0790075700</v>
      </c>
      <c r="D171" s="172">
        <v>810</v>
      </c>
      <c r="E171" s="39" t="s">
        <v>142</v>
      </c>
      <c r="F171" s="18">
        <f>'приложение 6'!G300</f>
        <v>35355.699999999997</v>
      </c>
      <c r="G171" s="18">
        <v>35355.699999999997</v>
      </c>
      <c r="H171" s="18">
        <v>26720.317849999999</v>
      </c>
      <c r="I171" s="147">
        <f>H171/G171*100</f>
        <v>75.57570024069669</v>
      </c>
      <c r="J171" s="145"/>
    </row>
    <row r="172" spans="1:10" s="134" customFormat="1" ht="57" x14ac:dyDescent="0.25">
      <c r="A172" s="135">
        <v>8</v>
      </c>
      <c r="B172" s="144" t="s">
        <v>299</v>
      </c>
      <c r="C172" s="142" t="s">
        <v>246</v>
      </c>
      <c r="D172" s="135"/>
      <c r="E172" s="143"/>
      <c r="F172" s="138">
        <f>F173+F182</f>
        <v>5266.2</v>
      </c>
      <c r="G172" s="138">
        <f>G173</f>
        <v>5266.1980000000003</v>
      </c>
      <c r="H172" s="138">
        <f>H173</f>
        <v>5228.8620900000005</v>
      </c>
      <c r="I172" s="152">
        <f t="shared" ref="I172:I173" si="17">H172/G172*100</f>
        <v>99.291027226853231</v>
      </c>
      <c r="J172" s="145"/>
    </row>
    <row r="173" spans="1:10" ht="30" x14ac:dyDescent="0.25">
      <c r="A173" s="60"/>
      <c r="B173" s="183" t="s">
        <v>604</v>
      </c>
      <c r="C173" s="39" t="s">
        <v>247</v>
      </c>
      <c r="D173" s="172"/>
      <c r="E173" s="39"/>
      <c r="F173" s="18">
        <f>F174+F175+F176+F180+F179+F181+F178+F177</f>
        <v>5266.2</v>
      </c>
      <c r="G173" s="18">
        <f>G174+G175+G176+G177+G178+G179+G180+G181</f>
        <v>5266.1980000000003</v>
      </c>
      <c r="H173" s="18">
        <f>H174+H175+H176+H177+H178+H179+H180+H181</f>
        <v>5228.8620900000005</v>
      </c>
      <c r="I173" s="147">
        <f t="shared" si="17"/>
        <v>99.291027226853231</v>
      </c>
      <c r="J173" s="145"/>
    </row>
    <row r="174" spans="1:10" hidden="1" x14ac:dyDescent="0.25">
      <c r="A174" s="190"/>
      <c r="B174" s="243" t="s">
        <v>92</v>
      </c>
      <c r="C174" s="190" t="str">
        <f>'приложение 6'!E346</f>
        <v>0810000610</v>
      </c>
      <c r="D174" s="172">
        <v>110</v>
      </c>
      <c r="E174" s="39" t="s">
        <v>130</v>
      </c>
      <c r="F174" s="18">
        <f>'приложение 6'!G347</f>
        <v>3638.09</v>
      </c>
      <c r="G174" s="18">
        <f>2766.733+35.8+835.557</f>
        <v>3638.09</v>
      </c>
      <c r="H174" s="18">
        <f>2765.77091+9.6+828.93229</f>
        <v>3604.3032000000003</v>
      </c>
      <c r="I174" s="147">
        <f>H174/G174*100</f>
        <v>99.071303898474213</v>
      </c>
      <c r="J174" s="145"/>
    </row>
    <row r="175" spans="1:10" hidden="1" x14ac:dyDescent="0.25">
      <c r="A175" s="193"/>
      <c r="B175" s="244"/>
      <c r="C175" s="193"/>
      <c r="D175" s="172">
        <v>240</v>
      </c>
      <c r="E175" s="39" t="s">
        <v>130</v>
      </c>
      <c r="F175" s="18">
        <f>'приложение 6'!G349</f>
        <v>671.53</v>
      </c>
      <c r="G175" s="18">
        <v>671.53</v>
      </c>
      <c r="H175" s="18">
        <v>668.44443999999999</v>
      </c>
      <c r="I175" s="147">
        <f>H175/G175*100</f>
        <v>99.540517921760767</v>
      </c>
      <c r="J175" s="145"/>
    </row>
    <row r="176" spans="1:10" hidden="1" x14ac:dyDescent="0.25">
      <c r="A176" s="191"/>
      <c r="B176" s="245"/>
      <c r="C176" s="191"/>
      <c r="D176" s="172">
        <v>850</v>
      </c>
      <c r="E176" s="39" t="s">
        <v>130</v>
      </c>
      <c r="F176" s="18">
        <f>'приложение 6'!G351</f>
        <v>0.5</v>
      </c>
      <c r="G176" s="18">
        <v>0.5</v>
      </c>
      <c r="H176" s="18">
        <v>3.6450000000000003E-2</v>
      </c>
      <c r="I176" s="147">
        <f>H176/G176*100</f>
        <v>7.2900000000000009</v>
      </c>
      <c r="J176" s="145"/>
    </row>
    <row r="177" spans="1:10" ht="45" hidden="1" x14ac:dyDescent="0.25">
      <c r="A177" s="127"/>
      <c r="B177" s="177" t="s">
        <v>443</v>
      </c>
      <c r="C177" s="176" t="str">
        <f>'приложение 6'!E353</f>
        <v>0810010210</v>
      </c>
      <c r="D177" s="172">
        <v>110</v>
      </c>
      <c r="E177" s="39" t="s">
        <v>130</v>
      </c>
      <c r="F177" s="18">
        <f>'приложение 6'!G354</f>
        <v>45.42</v>
      </c>
      <c r="G177" s="18">
        <f>34.88479+10.53521</f>
        <v>45.42</v>
      </c>
      <c r="H177" s="18">
        <f>34.88479+10.53521</f>
        <v>45.42</v>
      </c>
      <c r="I177" s="147">
        <f>H177/G177*100</f>
        <v>100</v>
      </c>
      <c r="J177" s="145"/>
    </row>
    <row r="178" spans="1:10" ht="90" hidden="1" x14ac:dyDescent="0.25">
      <c r="A178" s="104"/>
      <c r="B178" s="92" t="s">
        <v>556</v>
      </c>
      <c r="C178" s="39" t="s">
        <v>533</v>
      </c>
      <c r="D178" s="172">
        <v>110</v>
      </c>
      <c r="E178" s="39" t="s">
        <v>130</v>
      </c>
      <c r="F178" s="18">
        <f>'приложение 6'!G357</f>
        <v>26.05</v>
      </c>
      <c r="G178" s="18">
        <f>20.007+6.043</f>
        <v>26.05</v>
      </c>
      <c r="H178" s="18">
        <f>20.007+6.043</f>
        <v>26.05</v>
      </c>
      <c r="I178" s="147">
        <f t="shared" ref="I178:I218" si="18">H178/G178*100</f>
        <v>100</v>
      </c>
      <c r="J178" s="145"/>
    </row>
    <row r="179" spans="1:10" ht="30" hidden="1" x14ac:dyDescent="0.25">
      <c r="A179" s="84"/>
      <c r="B179" s="92" t="s">
        <v>447</v>
      </c>
      <c r="C179" s="39" t="s">
        <v>448</v>
      </c>
      <c r="D179" s="172">
        <v>540</v>
      </c>
      <c r="E179" s="39" t="s">
        <v>446</v>
      </c>
      <c r="F179" s="18">
        <f>'приложение 6'!G63</f>
        <v>572.11</v>
      </c>
      <c r="G179" s="18">
        <v>572.10799999999995</v>
      </c>
      <c r="H179" s="18">
        <v>572.10799999999995</v>
      </c>
      <c r="I179" s="147">
        <f t="shared" si="18"/>
        <v>100</v>
      </c>
      <c r="J179" s="145"/>
    </row>
    <row r="180" spans="1:10" ht="30" hidden="1" x14ac:dyDescent="0.25">
      <c r="A180" s="77"/>
      <c r="B180" s="80" t="s">
        <v>389</v>
      </c>
      <c r="C180" s="39" t="s">
        <v>390</v>
      </c>
      <c r="D180" s="172">
        <v>240</v>
      </c>
      <c r="E180" s="39" t="s">
        <v>130</v>
      </c>
      <c r="F180" s="18">
        <f>'приложение 6'!G360</f>
        <v>0.5</v>
      </c>
      <c r="G180" s="18">
        <v>0.5</v>
      </c>
      <c r="H180" s="18">
        <v>0.5</v>
      </c>
      <c r="I180" s="147">
        <f t="shared" si="18"/>
        <v>100</v>
      </c>
      <c r="J180" s="145"/>
    </row>
    <row r="181" spans="1:10" ht="45" hidden="1" x14ac:dyDescent="0.25">
      <c r="A181" s="84"/>
      <c r="B181" s="93" t="s">
        <v>456</v>
      </c>
      <c r="C181" s="39" t="s">
        <v>457</v>
      </c>
      <c r="D181" s="172">
        <v>240</v>
      </c>
      <c r="E181" s="39" t="s">
        <v>130</v>
      </c>
      <c r="F181" s="18">
        <f>'приложение 6'!G363</f>
        <v>312</v>
      </c>
      <c r="G181" s="18">
        <v>312</v>
      </c>
      <c r="H181" s="18">
        <v>312</v>
      </c>
      <c r="I181" s="147">
        <f t="shared" si="18"/>
        <v>100</v>
      </c>
      <c r="J181" s="145"/>
    </row>
    <row r="182" spans="1:10" ht="30" x14ac:dyDescent="0.25">
      <c r="A182" s="77"/>
      <c r="B182" s="80" t="s">
        <v>605</v>
      </c>
      <c r="C182" s="39" t="s">
        <v>399</v>
      </c>
      <c r="D182" s="172"/>
      <c r="E182" s="39"/>
      <c r="F182" s="18">
        <v>0</v>
      </c>
      <c r="G182" s="18"/>
      <c r="H182" s="18"/>
      <c r="I182" s="155" t="s">
        <v>571</v>
      </c>
      <c r="J182" s="145"/>
    </row>
    <row r="183" spans="1:10" s="134" customFormat="1" ht="57" x14ac:dyDescent="0.25">
      <c r="A183" s="135">
        <v>9</v>
      </c>
      <c r="B183" s="136" t="s">
        <v>300</v>
      </c>
      <c r="C183" s="142" t="s">
        <v>237</v>
      </c>
      <c r="D183" s="137"/>
      <c r="E183" s="142"/>
      <c r="F183" s="138">
        <f>F184</f>
        <v>717.5</v>
      </c>
      <c r="G183" s="138">
        <f>G184</f>
        <v>717.495</v>
      </c>
      <c r="H183" s="153">
        <f>H184</f>
        <v>0</v>
      </c>
      <c r="I183" s="154">
        <f t="shared" si="18"/>
        <v>0</v>
      </c>
      <c r="J183" s="145"/>
    </row>
    <row r="184" spans="1:10" x14ac:dyDescent="0.25">
      <c r="A184" s="60"/>
      <c r="B184" s="177" t="s">
        <v>46</v>
      </c>
      <c r="C184" s="39" t="s">
        <v>238</v>
      </c>
      <c r="D184" s="172"/>
      <c r="E184" s="39"/>
      <c r="F184" s="18">
        <f>F186+F185</f>
        <v>717.5</v>
      </c>
      <c r="G184" s="18">
        <f>G185+G186</f>
        <v>717.495</v>
      </c>
      <c r="H184" s="150">
        <f>H185+H186</f>
        <v>0</v>
      </c>
      <c r="I184" s="156">
        <f t="shared" si="18"/>
        <v>0</v>
      </c>
      <c r="J184" s="145"/>
    </row>
    <row r="185" spans="1:10" ht="45" x14ac:dyDescent="0.25">
      <c r="A185" s="105"/>
      <c r="B185" s="184" t="s">
        <v>530</v>
      </c>
      <c r="C185" s="39" t="s">
        <v>531</v>
      </c>
      <c r="D185" s="105">
        <v>810</v>
      </c>
      <c r="E185" s="39" t="s">
        <v>532</v>
      </c>
      <c r="F185" s="18">
        <f>'приложение 6'!G272</f>
        <v>657.5</v>
      </c>
      <c r="G185" s="18">
        <v>657.495</v>
      </c>
      <c r="H185" s="150">
        <v>0</v>
      </c>
      <c r="I185" s="156">
        <f t="shared" si="18"/>
        <v>0</v>
      </c>
      <c r="J185" s="145"/>
    </row>
    <row r="186" spans="1:10" ht="30" x14ac:dyDescent="0.25">
      <c r="A186" s="60"/>
      <c r="B186" s="184" t="s">
        <v>57</v>
      </c>
      <c r="C186" s="39" t="str">
        <f>'приложение 6'!E273</f>
        <v>09900S6070</v>
      </c>
      <c r="D186" s="60">
        <v>810</v>
      </c>
      <c r="E186" s="39" t="s">
        <v>138</v>
      </c>
      <c r="F186" s="18">
        <f>'приложение 6'!G275</f>
        <v>60</v>
      </c>
      <c r="G186" s="18">
        <v>60</v>
      </c>
      <c r="H186" s="150">
        <v>0</v>
      </c>
      <c r="I186" s="156">
        <f t="shared" si="18"/>
        <v>0</v>
      </c>
      <c r="J186" s="145"/>
    </row>
    <row r="187" spans="1:10" s="134" customFormat="1" ht="28.5" x14ac:dyDescent="0.25">
      <c r="A187" s="135">
        <v>10</v>
      </c>
      <c r="B187" s="144" t="s">
        <v>301</v>
      </c>
      <c r="C187" s="137">
        <v>1000000000</v>
      </c>
      <c r="D187" s="137"/>
      <c r="E187" s="142"/>
      <c r="F187" s="138">
        <f>F188+F191+F194+F196+F200</f>
        <v>34998.759999999995</v>
      </c>
      <c r="G187" s="138">
        <f>G188+G191+G194+G196+G200</f>
        <v>34998.758179999997</v>
      </c>
      <c r="H187" s="138">
        <f>H188+H191+H194+H196+H200</f>
        <v>33039.751960000001</v>
      </c>
      <c r="I187" s="152">
        <f>H187/G187*100</f>
        <v>94.402640773924745</v>
      </c>
      <c r="J187" s="145"/>
    </row>
    <row r="188" spans="1:10" ht="30" x14ac:dyDescent="0.25">
      <c r="A188" s="60"/>
      <c r="B188" s="126" t="s">
        <v>607</v>
      </c>
      <c r="C188" s="172">
        <v>1010000000</v>
      </c>
      <c r="D188" s="172"/>
      <c r="E188" s="39"/>
      <c r="F188" s="18">
        <f>F189+F190</f>
        <v>20038.04</v>
      </c>
      <c r="G188" s="18">
        <f>G189+G190</f>
        <v>20038.04</v>
      </c>
      <c r="H188" s="18">
        <f>H189+H190</f>
        <v>18546.998</v>
      </c>
      <c r="I188" s="147">
        <f t="shared" si="18"/>
        <v>92.558942890622035</v>
      </c>
      <c r="J188" s="145"/>
    </row>
    <row r="189" spans="1:10" ht="90" hidden="1" x14ac:dyDescent="0.25">
      <c r="A189" s="60"/>
      <c r="B189" s="177" t="s">
        <v>52</v>
      </c>
      <c r="C189" s="172">
        <f>'приложение 6'!E242</f>
        <v>1010023580</v>
      </c>
      <c r="D189" s="172">
        <v>810</v>
      </c>
      <c r="E189" s="39" t="s">
        <v>135</v>
      </c>
      <c r="F189" s="18">
        <f>'приложение 6'!G244</f>
        <v>16043.84</v>
      </c>
      <c r="G189" s="18">
        <v>16043.84</v>
      </c>
      <c r="H189" s="18">
        <v>14552.84</v>
      </c>
      <c r="I189" s="147">
        <f t="shared" si="18"/>
        <v>90.706713604723049</v>
      </c>
      <c r="J189" s="145"/>
    </row>
    <row r="190" spans="1:10" ht="90" hidden="1" x14ac:dyDescent="0.25">
      <c r="A190" s="78"/>
      <c r="B190" s="80" t="s">
        <v>356</v>
      </c>
      <c r="C190" s="172">
        <f>'приложение 6'!E247</f>
        <v>1010023590</v>
      </c>
      <c r="D190" s="172">
        <v>810</v>
      </c>
      <c r="E190" s="39" t="s">
        <v>135</v>
      </c>
      <c r="F190" s="18">
        <f>'приложение 6'!G247</f>
        <v>3994.2</v>
      </c>
      <c r="G190" s="18">
        <v>3994.2</v>
      </c>
      <c r="H190" s="18">
        <v>3994.1579999999999</v>
      </c>
      <c r="I190" s="147">
        <f t="shared" si="18"/>
        <v>99.998948475289168</v>
      </c>
      <c r="J190" s="145"/>
    </row>
    <row r="191" spans="1:10" ht="30" x14ac:dyDescent="0.25">
      <c r="A191" s="60"/>
      <c r="B191" s="126" t="s">
        <v>608</v>
      </c>
      <c r="C191" s="172">
        <v>1020000000</v>
      </c>
      <c r="D191" s="172"/>
      <c r="E191" s="39"/>
      <c r="F191" s="18">
        <f>F193+F192</f>
        <v>660.5</v>
      </c>
      <c r="G191" s="18">
        <f>G192+G193</f>
        <v>660.5</v>
      </c>
      <c r="H191" s="18">
        <f>H192+H193</f>
        <v>239.56117</v>
      </c>
      <c r="I191" s="147">
        <f t="shared" si="18"/>
        <v>36.269669947009845</v>
      </c>
      <c r="J191" s="145"/>
    </row>
    <row r="192" spans="1:10" ht="45" hidden="1" x14ac:dyDescent="0.25">
      <c r="A192" s="90"/>
      <c r="B192" s="93" t="s">
        <v>479</v>
      </c>
      <c r="C192" s="172">
        <v>1020074920</v>
      </c>
      <c r="D192" s="172">
        <v>540</v>
      </c>
      <c r="E192" s="39" t="s">
        <v>137</v>
      </c>
      <c r="F192" s="18">
        <f>'приложение 6'!G76</f>
        <v>268</v>
      </c>
      <c r="G192" s="18">
        <v>268</v>
      </c>
      <c r="H192" s="18">
        <v>239.56117</v>
      </c>
      <c r="I192" s="147">
        <f t="shared" si="18"/>
        <v>89.388496268656709</v>
      </c>
      <c r="J192" s="145"/>
    </row>
    <row r="193" spans="1:10" ht="45" hidden="1" x14ac:dyDescent="0.25">
      <c r="A193" s="60"/>
      <c r="B193" s="126" t="s">
        <v>202</v>
      </c>
      <c r="C193" s="172">
        <f>'приложение 6'!E251</f>
        <v>1020082220</v>
      </c>
      <c r="D193" s="172">
        <v>240</v>
      </c>
      <c r="E193" s="39" t="s">
        <v>137</v>
      </c>
      <c r="F193" s="18">
        <f>'приложение 6'!G251</f>
        <v>392.5</v>
      </c>
      <c r="G193" s="18">
        <v>392.5</v>
      </c>
      <c r="H193" s="150">
        <v>0</v>
      </c>
      <c r="I193" s="156">
        <f t="shared" si="18"/>
        <v>0</v>
      </c>
      <c r="J193" s="145"/>
    </row>
    <row r="194" spans="1:10" ht="30" x14ac:dyDescent="0.25">
      <c r="A194" s="78"/>
      <c r="B194" s="126" t="s">
        <v>609</v>
      </c>
      <c r="C194" s="172">
        <v>1030000000</v>
      </c>
      <c r="D194" s="172"/>
      <c r="E194" s="39"/>
      <c r="F194" s="18">
        <f>F195</f>
        <v>8741.5</v>
      </c>
      <c r="G194" s="18">
        <f>G195</f>
        <v>8741.5</v>
      </c>
      <c r="H194" s="18">
        <f>H195</f>
        <v>8716.5</v>
      </c>
      <c r="I194" s="147">
        <f t="shared" si="18"/>
        <v>99.714007893382146</v>
      </c>
      <c r="J194" s="145"/>
    </row>
    <row r="195" spans="1:10" ht="45" hidden="1" x14ac:dyDescent="0.25">
      <c r="A195" s="101"/>
      <c r="B195" s="80" t="s">
        <v>495</v>
      </c>
      <c r="C195" s="172">
        <v>1030075090</v>
      </c>
      <c r="D195" s="172">
        <v>540</v>
      </c>
      <c r="E195" s="39" t="s">
        <v>137</v>
      </c>
      <c r="F195" s="18">
        <f>'приложение 6'!G79</f>
        <v>8741.5</v>
      </c>
      <c r="G195" s="18">
        <v>8741.5</v>
      </c>
      <c r="H195" s="18">
        <v>8716.5</v>
      </c>
      <c r="I195" s="147">
        <f t="shared" si="18"/>
        <v>99.714007893382146</v>
      </c>
      <c r="J195" s="145"/>
    </row>
    <row r="196" spans="1:10" ht="30" x14ac:dyDescent="0.25">
      <c r="A196" s="60"/>
      <c r="B196" s="126" t="s">
        <v>610</v>
      </c>
      <c r="C196" s="172">
        <v>1040000000</v>
      </c>
      <c r="D196" s="172"/>
      <c r="E196" s="39"/>
      <c r="F196" s="18">
        <f>F197+F198+F199</f>
        <v>5278.2</v>
      </c>
      <c r="G196" s="18">
        <f>G197+G198+G199</f>
        <v>5278.2</v>
      </c>
      <c r="H196" s="18">
        <f>H197+H198+H199</f>
        <v>5257.9999900000003</v>
      </c>
      <c r="I196" s="147">
        <f t="shared" si="18"/>
        <v>99.617293584934259</v>
      </c>
      <c r="J196" s="145"/>
    </row>
    <row r="197" spans="1:10" ht="30" hidden="1" x14ac:dyDescent="0.25">
      <c r="A197" s="78"/>
      <c r="B197" s="126" t="s">
        <v>358</v>
      </c>
      <c r="C197" s="172">
        <v>1040075080</v>
      </c>
      <c r="D197" s="172">
        <v>240</v>
      </c>
      <c r="E197" s="39" t="s">
        <v>137</v>
      </c>
      <c r="F197" s="18">
        <f>'приложение 6'!G257</f>
        <v>316</v>
      </c>
      <c r="G197" s="18">
        <v>316</v>
      </c>
      <c r="H197" s="18">
        <v>296.99247000000003</v>
      </c>
      <c r="I197" s="147">
        <f t="shared" si="18"/>
        <v>93.984958860759505</v>
      </c>
      <c r="J197" s="145"/>
    </row>
    <row r="198" spans="1:10" ht="30" hidden="1" x14ac:dyDescent="0.25">
      <c r="A198" s="78"/>
      <c r="B198" s="80" t="s">
        <v>384</v>
      </c>
      <c r="C198" s="172">
        <v>1040075080</v>
      </c>
      <c r="D198" s="172">
        <v>540</v>
      </c>
      <c r="E198" s="39" t="s">
        <v>137</v>
      </c>
      <c r="F198" s="18">
        <f>'приложение 6'!G84</f>
        <v>4958</v>
      </c>
      <c r="G198" s="18">
        <v>4958</v>
      </c>
      <c r="H198" s="18">
        <v>4958</v>
      </c>
      <c r="I198" s="147">
        <f t="shared" si="18"/>
        <v>100</v>
      </c>
      <c r="J198" s="145"/>
    </row>
    <row r="199" spans="1:10" ht="45" hidden="1" x14ac:dyDescent="0.25">
      <c r="A199" s="60"/>
      <c r="B199" s="80" t="s">
        <v>206</v>
      </c>
      <c r="C199" s="172" t="str">
        <f>'приложение 6'!E260</f>
        <v>10400S5080</v>
      </c>
      <c r="D199" s="172">
        <v>240</v>
      </c>
      <c r="E199" s="39" t="s">
        <v>137</v>
      </c>
      <c r="F199" s="18">
        <f>'приложение 6'!G260</f>
        <v>4.2</v>
      </c>
      <c r="G199" s="18">
        <v>4.2</v>
      </c>
      <c r="H199" s="18">
        <v>3.00752</v>
      </c>
      <c r="I199" s="147">
        <f t="shared" si="18"/>
        <v>71.607619047619039</v>
      </c>
      <c r="J199" s="145"/>
    </row>
    <row r="200" spans="1:10" ht="45" x14ac:dyDescent="0.25">
      <c r="A200" s="78"/>
      <c r="B200" s="186" t="s">
        <v>606</v>
      </c>
      <c r="C200" s="22" t="s">
        <v>486</v>
      </c>
      <c r="D200" s="172"/>
      <c r="E200" s="39"/>
      <c r="F200" s="18">
        <f>F201</f>
        <v>280.52</v>
      </c>
      <c r="G200" s="18">
        <f>G201</f>
        <v>280.51818000000003</v>
      </c>
      <c r="H200" s="18">
        <f>H201</f>
        <v>278.69280000000003</v>
      </c>
      <c r="I200" s="147">
        <f t="shared" si="18"/>
        <v>99.34928281653616</v>
      </c>
      <c r="J200" s="145"/>
    </row>
    <row r="201" spans="1:10" hidden="1" x14ac:dyDescent="0.25">
      <c r="A201" s="96"/>
      <c r="B201" s="185"/>
      <c r="D201" s="96">
        <v>240</v>
      </c>
      <c r="E201" s="39" t="s">
        <v>360</v>
      </c>
      <c r="F201" s="18">
        <f>'приложение 6'!G264</f>
        <v>280.52</v>
      </c>
      <c r="G201" s="18">
        <f>85+195.51818</f>
        <v>280.51818000000003</v>
      </c>
      <c r="H201" s="18">
        <f>83.17862+195.51418</f>
        <v>278.69280000000003</v>
      </c>
      <c r="I201" s="147">
        <f t="shared" si="18"/>
        <v>99.34928281653616</v>
      </c>
      <c r="J201" s="145"/>
    </row>
    <row r="202" spans="1:10" s="134" customFormat="1" ht="42.75" x14ac:dyDescent="0.25">
      <c r="A202" s="135">
        <v>11</v>
      </c>
      <c r="B202" s="136" t="s">
        <v>302</v>
      </c>
      <c r="C202" s="137">
        <v>1100000000</v>
      </c>
      <c r="D202" s="135"/>
      <c r="E202" s="143"/>
      <c r="F202" s="138">
        <f>F206+F208+F210+F212+F214+F203</f>
        <v>78338.16</v>
      </c>
      <c r="G202" s="138">
        <f>G203+G206+G210+G212+G214</f>
        <v>78338.167830000006</v>
      </c>
      <c r="H202" s="138">
        <f>H203+H206+H210+H212+H214</f>
        <v>77462.248130000007</v>
      </c>
      <c r="I202" s="152">
        <f t="shared" si="18"/>
        <v>98.881873645678297</v>
      </c>
      <c r="J202" s="145"/>
    </row>
    <row r="203" spans="1:10" ht="30" x14ac:dyDescent="0.25">
      <c r="A203" s="60"/>
      <c r="B203" s="126" t="s">
        <v>611</v>
      </c>
      <c r="C203" s="172">
        <v>1110000000</v>
      </c>
      <c r="D203" s="172"/>
      <c r="E203" s="39"/>
      <c r="F203" s="18">
        <f>F204+F205</f>
        <v>41250.379999999997</v>
      </c>
      <c r="G203" s="18">
        <f>G204+G205</f>
        <v>41250.386030000001</v>
      </c>
      <c r="H203" s="18">
        <f>H204+H205</f>
        <v>40375.499329999999</v>
      </c>
      <c r="I203" s="147">
        <f t="shared" si="18"/>
        <v>97.879082393644197</v>
      </c>
      <c r="J203" s="145"/>
    </row>
    <row r="204" spans="1:10" ht="60" hidden="1" x14ac:dyDescent="0.25">
      <c r="A204" s="103"/>
      <c r="B204" s="80" t="s">
        <v>526</v>
      </c>
      <c r="C204" s="22" t="s">
        <v>523</v>
      </c>
      <c r="D204" s="172">
        <v>520</v>
      </c>
      <c r="E204" s="39" t="s">
        <v>521</v>
      </c>
      <c r="F204" s="18">
        <f>'приложение 6'!G96</f>
        <v>30449</v>
      </c>
      <c r="G204" s="18">
        <f>9542.925+20906.07787</f>
        <v>30449.00287</v>
      </c>
      <c r="H204" s="18">
        <f>9542.925+20031.19117</f>
        <v>29574.116169999998</v>
      </c>
      <c r="I204" s="147">
        <f t="shared" si="18"/>
        <v>97.126714777047795</v>
      </c>
      <c r="J204" s="145"/>
    </row>
    <row r="205" spans="1:10" ht="30" hidden="1" x14ac:dyDescent="0.25">
      <c r="A205" s="103"/>
      <c r="B205" s="80" t="s">
        <v>527</v>
      </c>
      <c r="C205" s="22" t="s">
        <v>522</v>
      </c>
      <c r="D205" s="172">
        <v>520</v>
      </c>
      <c r="E205" s="39" t="s">
        <v>521</v>
      </c>
      <c r="F205" s="18">
        <f>'приложение 6'!G99</f>
        <v>10801.38</v>
      </c>
      <c r="G205" s="18">
        <f>3112.90443+7688.47873</f>
        <v>10801.383159999999</v>
      </c>
      <c r="H205" s="18">
        <f>3112.90443+7688.47873</f>
        <v>10801.383159999999</v>
      </c>
      <c r="I205" s="147">
        <f t="shared" si="18"/>
        <v>100</v>
      </c>
      <c r="J205" s="145"/>
    </row>
    <row r="206" spans="1:10" ht="30" hidden="1" x14ac:dyDescent="0.25">
      <c r="A206" s="60"/>
      <c r="B206" s="126" t="s">
        <v>171</v>
      </c>
      <c r="C206" s="172">
        <v>1120000000</v>
      </c>
      <c r="D206" s="172"/>
      <c r="E206" s="39"/>
      <c r="F206" s="18">
        <f>F207</f>
        <v>2261.08</v>
      </c>
      <c r="G206" s="18">
        <f>G207</f>
        <v>2261.0817999999999</v>
      </c>
      <c r="H206" s="18">
        <f>H207</f>
        <v>2260.1088</v>
      </c>
      <c r="I206" s="147">
        <f t="shared" si="18"/>
        <v>99.956967501131544</v>
      </c>
      <c r="J206" s="145"/>
    </row>
    <row r="207" spans="1:10" hidden="1" x14ac:dyDescent="0.25">
      <c r="A207" s="60"/>
      <c r="B207" s="177" t="s">
        <v>178</v>
      </c>
      <c r="C207" s="172" t="str">
        <f>'приложение 6'!E323</f>
        <v>11200L4970</v>
      </c>
      <c r="D207" s="172">
        <v>320</v>
      </c>
      <c r="E207" s="39" t="s">
        <v>158</v>
      </c>
      <c r="F207" s="18">
        <f>'приложение 6'!G325</f>
        <v>2261.08</v>
      </c>
      <c r="G207" s="18">
        <f>566+618.03076+1077.05104</f>
        <v>2261.0817999999999</v>
      </c>
      <c r="H207" s="18">
        <f>565.027+618.03076+1077.05104</f>
        <v>2260.1088</v>
      </c>
      <c r="I207" s="147">
        <f t="shared" si="18"/>
        <v>99.956967501131544</v>
      </c>
      <c r="J207" s="145"/>
    </row>
    <row r="208" spans="1:10" ht="45" x14ac:dyDescent="0.25">
      <c r="A208" s="60"/>
      <c r="B208" s="126" t="s">
        <v>612</v>
      </c>
      <c r="C208" s="172">
        <v>1130000000</v>
      </c>
      <c r="D208" s="172"/>
      <c r="E208" s="39"/>
      <c r="F208" s="18">
        <f>F209</f>
        <v>0</v>
      </c>
      <c r="G208" s="18">
        <v>0</v>
      </c>
      <c r="H208" s="18">
        <v>0</v>
      </c>
      <c r="I208" s="155" t="s">
        <v>571</v>
      </c>
      <c r="J208" s="145"/>
    </row>
    <row r="209" spans="1:10" ht="45" hidden="1" x14ac:dyDescent="0.25">
      <c r="A209" s="68"/>
      <c r="B209" s="80" t="s">
        <v>329</v>
      </c>
      <c r="C209" s="70" t="s">
        <v>361</v>
      </c>
      <c r="D209" s="172">
        <v>240</v>
      </c>
      <c r="E209" s="39" t="s">
        <v>138</v>
      </c>
      <c r="F209" s="18">
        <f>'приложение 6'!G279</f>
        <v>0</v>
      </c>
      <c r="G209" s="18">
        <v>0</v>
      </c>
      <c r="H209" s="18">
        <v>0</v>
      </c>
      <c r="I209" s="155" t="s">
        <v>571</v>
      </c>
      <c r="J209" s="145"/>
    </row>
    <row r="210" spans="1:10" ht="60" x14ac:dyDescent="0.25">
      <c r="A210" s="60"/>
      <c r="B210" s="177" t="s">
        <v>613</v>
      </c>
      <c r="C210" s="172">
        <v>1140000000</v>
      </c>
      <c r="D210" s="172"/>
      <c r="E210" s="39"/>
      <c r="F210" s="18">
        <f>F211</f>
        <v>20000</v>
      </c>
      <c r="G210" s="18">
        <f>G211</f>
        <v>20000</v>
      </c>
      <c r="H210" s="18">
        <f>H211</f>
        <v>20000</v>
      </c>
      <c r="I210" s="147">
        <f t="shared" si="18"/>
        <v>100</v>
      </c>
      <c r="J210" s="145"/>
    </row>
    <row r="211" spans="1:10" hidden="1" x14ac:dyDescent="0.25">
      <c r="A211" s="60"/>
      <c r="B211" s="126" t="s">
        <v>217</v>
      </c>
      <c r="C211" s="172">
        <f>'приложение 6'!E223</f>
        <v>1140082120</v>
      </c>
      <c r="D211" s="172">
        <v>410</v>
      </c>
      <c r="E211" s="39" t="s">
        <v>124</v>
      </c>
      <c r="F211" s="18">
        <f>'приложение 6'!G223</f>
        <v>20000</v>
      </c>
      <c r="G211" s="18">
        <v>20000</v>
      </c>
      <c r="H211" s="18">
        <v>20000</v>
      </c>
      <c r="I211" s="147">
        <f t="shared" si="18"/>
        <v>100</v>
      </c>
      <c r="J211" s="145"/>
    </row>
    <row r="212" spans="1:10" ht="45" x14ac:dyDescent="0.25">
      <c r="A212" s="60"/>
      <c r="B212" s="177" t="s">
        <v>614</v>
      </c>
      <c r="C212" s="172">
        <v>1150000000</v>
      </c>
      <c r="D212" s="172"/>
      <c r="E212" s="39"/>
      <c r="F212" s="18">
        <f>F213</f>
        <v>14189.1</v>
      </c>
      <c r="G212" s="18">
        <f>G213</f>
        <v>14189.1</v>
      </c>
      <c r="H212" s="18">
        <f>H213</f>
        <v>14189.04</v>
      </c>
      <c r="I212" s="147">
        <f t="shared" si="18"/>
        <v>99.999577140199165</v>
      </c>
      <c r="J212" s="145"/>
    </row>
    <row r="213" spans="1:10" ht="60" hidden="1" x14ac:dyDescent="0.25">
      <c r="A213" s="60"/>
      <c r="B213" s="177" t="s">
        <v>68</v>
      </c>
      <c r="C213" s="172">
        <f>'приложение 6'!E329</f>
        <v>1150075870</v>
      </c>
      <c r="D213" s="172">
        <v>410</v>
      </c>
      <c r="E213" s="39" t="s">
        <v>223</v>
      </c>
      <c r="F213" s="18">
        <f>'приложение 6'!G331</f>
        <v>14189.1</v>
      </c>
      <c r="G213" s="18">
        <v>14189.1</v>
      </c>
      <c r="H213" s="18">
        <v>14189.04</v>
      </c>
      <c r="I213" s="147">
        <f t="shared" si="18"/>
        <v>99.999577140199165</v>
      </c>
      <c r="J213" s="145"/>
    </row>
    <row r="214" spans="1:10" ht="45" x14ac:dyDescent="0.25">
      <c r="A214" s="60"/>
      <c r="B214" s="177" t="s">
        <v>615</v>
      </c>
      <c r="C214" s="172"/>
      <c r="D214" s="172"/>
      <c r="E214" s="39"/>
      <c r="F214" s="18">
        <f>F215+F216</f>
        <v>637.59999999999991</v>
      </c>
      <c r="G214" s="18">
        <f>G215+G216</f>
        <v>637.6</v>
      </c>
      <c r="H214" s="18">
        <f>H215+H216</f>
        <v>637.6</v>
      </c>
      <c r="I214" s="147">
        <f t="shared" si="18"/>
        <v>100</v>
      </c>
      <c r="J214" s="145"/>
    </row>
    <row r="215" spans="1:10" hidden="1" x14ac:dyDescent="0.25">
      <c r="A215" s="192"/>
      <c r="B215" s="221" t="s">
        <v>354</v>
      </c>
      <c r="C215" s="192">
        <f>'приложение 6'!E225</f>
        <v>1190074670</v>
      </c>
      <c r="D215" s="60">
        <v>120</v>
      </c>
      <c r="E215" s="39" t="s">
        <v>124</v>
      </c>
      <c r="F215" s="18">
        <f>'приложение 6'!G227</f>
        <v>591.59999999999991</v>
      </c>
      <c r="G215" s="18">
        <f>454.379+137.221</f>
        <v>591.6</v>
      </c>
      <c r="H215" s="18">
        <f>454.379+137.221</f>
        <v>591.6</v>
      </c>
      <c r="I215" s="147">
        <f t="shared" si="18"/>
        <v>100</v>
      </c>
      <c r="J215" s="145"/>
    </row>
    <row r="216" spans="1:10" hidden="1" x14ac:dyDescent="0.25">
      <c r="A216" s="192"/>
      <c r="B216" s="221"/>
      <c r="C216" s="192"/>
      <c r="D216" s="60">
        <v>240</v>
      </c>
      <c r="E216" s="39" t="s">
        <v>124</v>
      </c>
      <c r="F216" s="18">
        <f>'приложение 6'!G229</f>
        <v>46</v>
      </c>
      <c r="G216" s="18">
        <v>46</v>
      </c>
      <c r="H216" s="18">
        <v>46</v>
      </c>
      <c r="I216" s="147">
        <f t="shared" si="18"/>
        <v>100</v>
      </c>
      <c r="J216" s="145"/>
    </row>
    <row r="217" spans="1:10" s="134" customFormat="1" ht="57" x14ac:dyDescent="0.25">
      <c r="A217" s="135">
        <v>12</v>
      </c>
      <c r="B217" s="136" t="s">
        <v>303</v>
      </c>
      <c r="C217" s="137">
        <v>1200000000</v>
      </c>
      <c r="D217" s="137"/>
      <c r="E217" s="142"/>
      <c r="F217" s="138">
        <f>F218+F221</f>
        <v>877.81</v>
      </c>
      <c r="G217" s="138">
        <f>G218+G221</f>
        <v>877.80799999999999</v>
      </c>
      <c r="H217" s="138">
        <f>H218+H221</f>
        <v>544.73455000000001</v>
      </c>
      <c r="I217" s="152">
        <f t="shared" si="18"/>
        <v>62.056229836137291</v>
      </c>
      <c r="J217" s="145"/>
    </row>
    <row r="218" spans="1:10" x14ac:dyDescent="0.25">
      <c r="A218" s="60"/>
      <c r="B218" s="20" t="s">
        <v>385</v>
      </c>
      <c r="C218" s="172">
        <v>1210000000</v>
      </c>
      <c r="D218" s="172"/>
      <c r="E218" s="39"/>
      <c r="F218" s="18">
        <f>F219+F220</f>
        <v>202.1</v>
      </c>
      <c r="G218" s="18">
        <f>G219</f>
        <v>202.1</v>
      </c>
      <c r="H218" s="150">
        <f>H219</f>
        <v>0</v>
      </c>
      <c r="I218" s="156">
        <f t="shared" si="18"/>
        <v>0</v>
      </c>
      <c r="J218" s="145"/>
    </row>
    <row r="219" spans="1:10" hidden="1" x14ac:dyDescent="0.25">
      <c r="A219" s="60"/>
      <c r="B219" s="252" t="s">
        <v>59</v>
      </c>
      <c r="C219" s="190">
        <v>1210075180</v>
      </c>
      <c r="D219" s="247">
        <v>240</v>
      </c>
      <c r="E219" s="249" t="s">
        <v>138</v>
      </c>
      <c r="F219" s="251">
        <f>'приложение 6'!G284</f>
        <v>202.1</v>
      </c>
      <c r="G219" s="251">
        <v>202.1</v>
      </c>
      <c r="H219" s="253">
        <v>0</v>
      </c>
      <c r="I219" s="246">
        <f>H219/G219*100</f>
        <v>0</v>
      </c>
      <c r="J219" s="145"/>
    </row>
    <row r="220" spans="1:10" hidden="1" x14ac:dyDescent="0.25">
      <c r="A220" s="60"/>
      <c r="B220" s="252"/>
      <c r="C220" s="191"/>
      <c r="D220" s="248"/>
      <c r="E220" s="250"/>
      <c r="F220" s="248"/>
      <c r="G220" s="248"/>
      <c r="H220" s="254"/>
      <c r="I220" s="246"/>
      <c r="J220" s="145"/>
    </row>
    <row r="221" spans="1:10" x14ac:dyDescent="0.25">
      <c r="A221" s="60"/>
      <c r="B221" s="20" t="s">
        <v>355</v>
      </c>
      <c r="C221" s="172">
        <v>1220000000</v>
      </c>
      <c r="D221" s="172"/>
      <c r="E221" s="39"/>
      <c r="F221" s="18">
        <f>F222+F223</f>
        <v>675.70999999999992</v>
      </c>
      <c r="G221" s="18">
        <f>G222+G223</f>
        <v>675.70799999999997</v>
      </c>
      <c r="H221" s="18">
        <f>H222+H223</f>
        <v>544.73455000000001</v>
      </c>
      <c r="I221" s="18">
        <f>H221/G221*100</f>
        <v>80.616856689575982</v>
      </c>
      <c r="J221" s="145"/>
    </row>
    <row r="222" spans="1:10" hidden="1" x14ac:dyDescent="0.25">
      <c r="A222" s="60"/>
      <c r="B222" s="252" t="s">
        <v>50</v>
      </c>
      <c r="C222" s="190">
        <v>1220075170</v>
      </c>
      <c r="D222" s="60">
        <v>120</v>
      </c>
      <c r="E222" s="39" t="s">
        <v>134</v>
      </c>
      <c r="F222" s="18">
        <f>'приложение 6'!G236</f>
        <v>603.70999999999992</v>
      </c>
      <c r="G222" s="18">
        <f>463.678+0.78+139.25</f>
        <v>603.70799999999997</v>
      </c>
      <c r="H222" s="18">
        <f>362.28929+0.182+115.76326</f>
        <v>478.23455000000001</v>
      </c>
      <c r="I222" s="18">
        <f t="shared" ref="I222:I224" si="19">H222/G222*100</f>
        <v>79.216202203714374</v>
      </c>
      <c r="J222" s="145"/>
    </row>
    <row r="223" spans="1:10" hidden="1" x14ac:dyDescent="0.25">
      <c r="A223" s="79"/>
      <c r="B223" s="252"/>
      <c r="C223" s="191"/>
      <c r="D223" s="60">
        <v>240</v>
      </c>
      <c r="E223" s="39" t="s">
        <v>134</v>
      </c>
      <c r="F223" s="18">
        <f>'приложение 6'!G238</f>
        <v>72</v>
      </c>
      <c r="G223" s="18">
        <v>72</v>
      </c>
      <c r="H223" s="18">
        <v>66.5</v>
      </c>
      <c r="I223" s="18">
        <f t="shared" si="19"/>
        <v>92.361111111111114</v>
      </c>
      <c r="J223" s="145"/>
    </row>
    <row r="224" spans="1:10" s="134" customFormat="1" ht="42.75" x14ac:dyDescent="0.25">
      <c r="A224" s="135">
        <v>13</v>
      </c>
      <c r="B224" s="136" t="s">
        <v>327</v>
      </c>
      <c r="C224" s="137">
        <v>1300000000</v>
      </c>
      <c r="D224" s="135"/>
      <c r="E224" s="143"/>
      <c r="F224" s="138">
        <f>F225+F230</f>
        <v>639.47</v>
      </c>
      <c r="G224" s="138">
        <f>G225+G230</f>
        <v>639.47</v>
      </c>
      <c r="H224" s="138">
        <f>H225+H230</f>
        <v>634.96749999999997</v>
      </c>
      <c r="I224" s="138">
        <f t="shared" si="19"/>
        <v>99.295901293258467</v>
      </c>
      <c r="J224" s="145"/>
    </row>
    <row r="225" spans="1:10" ht="30" x14ac:dyDescent="0.25">
      <c r="A225" s="67"/>
      <c r="B225" s="180" t="s">
        <v>430</v>
      </c>
      <c r="C225" s="172">
        <v>1310000000</v>
      </c>
      <c r="D225" s="172"/>
      <c r="E225" s="39" t="s">
        <v>338</v>
      </c>
      <c r="F225" s="18">
        <f>F226+F227+F228+F229</f>
        <v>581.37</v>
      </c>
      <c r="G225" s="18">
        <f>G226+G227+G228+G229</f>
        <v>581.37</v>
      </c>
      <c r="H225" s="18">
        <f>H226+H227+H228+H229</f>
        <v>576.88599999999997</v>
      </c>
      <c r="I225" s="18">
        <f>H225/G225*100</f>
        <v>99.228718372121023</v>
      </c>
      <c r="J225" s="145"/>
    </row>
    <row r="226" spans="1:10" ht="30" hidden="1" x14ac:dyDescent="0.25">
      <c r="A226" s="69"/>
      <c r="B226" s="180" t="s">
        <v>419</v>
      </c>
      <c r="C226" s="39" t="str">
        <f>'приложение 6'!E697</f>
        <v>1310080070</v>
      </c>
      <c r="D226" s="172">
        <v>610</v>
      </c>
      <c r="E226" s="39" t="s">
        <v>338</v>
      </c>
      <c r="F226" s="18">
        <f>'приложение 6'!G699</f>
        <v>31.370000000000005</v>
      </c>
      <c r="G226" s="18">
        <v>31.37</v>
      </c>
      <c r="H226" s="18">
        <v>26.885999999999999</v>
      </c>
      <c r="I226" s="18">
        <f t="shared" ref="I226:I232" si="20">H226/G226*100</f>
        <v>85.706088619700353</v>
      </c>
      <c r="J226" s="145"/>
    </row>
    <row r="227" spans="1:10" ht="30" hidden="1" x14ac:dyDescent="0.25">
      <c r="A227" s="101"/>
      <c r="B227" s="180" t="s">
        <v>510</v>
      </c>
      <c r="C227" s="39" t="s">
        <v>506</v>
      </c>
      <c r="D227" s="172">
        <v>610</v>
      </c>
      <c r="E227" s="39" t="s">
        <v>505</v>
      </c>
      <c r="F227" s="18">
        <f>'приложение 6'!G708</f>
        <v>250</v>
      </c>
      <c r="G227" s="18">
        <v>250</v>
      </c>
      <c r="H227" s="18">
        <v>250</v>
      </c>
      <c r="I227" s="18">
        <f t="shared" si="20"/>
        <v>100</v>
      </c>
      <c r="J227" s="145"/>
    </row>
    <row r="228" spans="1:10" ht="38.25" hidden="1" customHeight="1" x14ac:dyDescent="0.25">
      <c r="A228" s="101"/>
      <c r="B228" s="180" t="s">
        <v>512</v>
      </c>
      <c r="C228" s="39" t="s">
        <v>506</v>
      </c>
      <c r="D228" s="172">
        <v>540</v>
      </c>
      <c r="E228" s="39" t="s">
        <v>505</v>
      </c>
      <c r="F228" s="18">
        <f>'приложение 6'!G127</f>
        <v>250</v>
      </c>
      <c r="G228" s="18">
        <v>250</v>
      </c>
      <c r="H228" s="18">
        <v>250</v>
      </c>
      <c r="I228" s="18">
        <f t="shared" si="20"/>
        <v>100</v>
      </c>
      <c r="J228" s="145"/>
    </row>
    <row r="229" spans="1:10" ht="38.25" hidden="1" customHeight="1" x14ac:dyDescent="0.25">
      <c r="A229" s="101"/>
      <c r="B229" s="65" t="s">
        <v>515</v>
      </c>
      <c r="C229" s="23" t="s">
        <v>516</v>
      </c>
      <c r="D229" s="172">
        <v>610</v>
      </c>
      <c r="E229" s="39" t="s">
        <v>505</v>
      </c>
      <c r="F229" s="18">
        <f>'приложение 6'!G712</f>
        <v>50</v>
      </c>
      <c r="G229" s="18">
        <v>50</v>
      </c>
      <c r="H229" s="18">
        <v>50</v>
      </c>
      <c r="I229" s="18">
        <f t="shared" si="20"/>
        <v>100</v>
      </c>
      <c r="J229" s="145"/>
    </row>
    <row r="230" spans="1:10" ht="31.5" x14ac:dyDescent="0.25">
      <c r="A230" s="67"/>
      <c r="B230" s="65" t="s">
        <v>431</v>
      </c>
      <c r="C230" s="172">
        <v>1320000000</v>
      </c>
      <c r="D230" s="172"/>
      <c r="E230" s="39" t="s">
        <v>338</v>
      </c>
      <c r="F230" s="18">
        <f>F231</f>
        <v>58.1</v>
      </c>
      <c r="G230" s="18">
        <f>G231</f>
        <v>58.1</v>
      </c>
      <c r="H230" s="18">
        <f>H231</f>
        <v>58.081499999999998</v>
      </c>
      <c r="I230" s="18">
        <f t="shared" si="20"/>
        <v>99.968158347676422</v>
      </c>
      <c r="J230" s="145"/>
    </row>
    <row r="231" spans="1:10" ht="31.5" hidden="1" x14ac:dyDescent="0.25">
      <c r="A231" s="82"/>
      <c r="B231" s="65" t="s">
        <v>425</v>
      </c>
      <c r="C231" s="23" t="s">
        <v>422</v>
      </c>
      <c r="D231" s="82">
        <v>610</v>
      </c>
      <c r="E231" s="39" t="s">
        <v>338</v>
      </c>
      <c r="F231" s="18">
        <f>'приложение 6'!G703</f>
        <v>58.1</v>
      </c>
      <c r="G231" s="18">
        <v>58.1</v>
      </c>
      <c r="H231" s="18">
        <v>58.081499999999998</v>
      </c>
      <c r="I231" s="18">
        <f t="shared" si="20"/>
        <v>99.968158347676422</v>
      </c>
    </row>
    <row r="232" spans="1:10" x14ac:dyDescent="0.25">
      <c r="A232" s="67"/>
      <c r="B232" s="35" t="s">
        <v>196</v>
      </c>
      <c r="C232" s="36"/>
      <c r="D232" s="36"/>
      <c r="E232" s="52"/>
      <c r="F232" s="64">
        <f>SUM(F16,F44,F80,F124,F138,F148,F163,F172,F183,F187,F202,F217,F224)</f>
        <v>1091235.2239999999</v>
      </c>
      <c r="G232" s="64">
        <f t="shared" ref="G232:H232" si="21">SUM(G16,G44,G80,G124,G138,G148,G163,G172,G183,G187,G202,G217,G224)</f>
        <v>1093506.4323099998</v>
      </c>
      <c r="H232" s="64">
        <f t="shared" si="21"/>
        <v>957118.55322</v>
      </c>
      <c r="I232" s="64">
        <f t="shared" si="20"/>
        <v>87.527473541981422</v>
      </c>
    </row>
    <row r="233" spans="1:10" x14ac:dyDescent="0.25">
      <c r="A233" s="43"/>
      <c r="B233" s="44"/>
      <c r="C233" s="38"/>
      <c r="D233" s="38"/>
      <c r="E233" s="38"/>
      <c r="F233" s="38"/>
      <c r="G233" s="38"/>
      <c r="H233" s="38"/>
      <c r="I233" s="148"/>
    </row>
    <row r="234" spans="1:10" x14ac:dyDescent="0.25">
      <c r="A234" s="43"/>
      <c r="B234" s="44"/>
      <c r="C234" s="38"/>
      <c r="D234" s="38"/>
      <c r="E234" s="38"/>
      <c r="F234" s="45"/>
      <c r="G234" s="45"/>
      <c r="H234" s="45"/>
      <c r="I234" s="149"/>
    </row>
    <row r="235" spans="1:10" x14ac:dyDescent="0.25">
      <c r="A235" s="43"/>
      <c r="B235" s="44"/>
      <c r="C235" s="38"/>
      <c r="D235" s="38"/>
      <c r="E235" s="38"/>
      <c r="F235" s="38"/>
      <c r="G235" s="38"/>
      <c r="H235" s="38"/>
      <c r="I235" s="148"/>
    </row>
    <row r="236" spans="1:10" ht="15.75" x14ac:dyDescent="0.25">
      <c r="A236" s="43"/>
      <c r="B236" s="163" t="s">
        <v>575</v>
      </c>
      <c r="C236" s="164"/>
      <c r="D236" s="164"/>
      <c r="E236" s="164"/>
      <c r="F236" s="165"/>
      <c r="G236" s="165"/>
      <c r="H236" s="165"/>
      <c r="I236" s="158"/>
    </row>
    <row r="237" spans="1:10" ht="15.75" x14ac:dyDescent="0.25">
      <c r="A237" s="43"/>
      <c r="B237" s="163" t="s">
        <v>576</v>
      </c>
      <c r="C237" s="164"/>
      <c r="D237" s="164"/>
      <c r="E237" s="164"/>
      <c r="F237" s="166"/>
      <c r="G237" s="167"/>
      <c r="H237" s="166" t="s">
        <v>573</v>
      </c>
      <c r="I237" s="148"/>
    </row>
    <row r="238" spans="1:10" x14ac:dyDescent="0.25">
      <c r="A238" s="43"/>
      <c r="B238" s="44"/>
      <c r="C238" s="38"/>
      <c r="D238" s="38"/>
      <c r="E238" s="38"/>
      <c r="F238" s="168" t="s">
        <v>577</v>
      </c>
      <c r="G238" s="38"/>
      <c r="H238" s="168" t="s">
        <v>574</v>
      </c>
      <c r="I238" s="148"/>
    </row>
    <row r="239" spans="1:10" x14ac:dyDescent="0.25">
      <c r="A239" s="43"/>
      <c r="B239" s="44"/>
      <c r="C239" s="38"/>
      <c r="D239" s="38"/>
      <c r="E239" s="38"/>
      <c r="F239" s="38"/>
      <c r="G239" s="38"/>
      <c r="H239" s="38"/>
      <c r="I239" s="148"/>
    </row>
    <row r="240" spans="1:10" x14ac:dyDescent="0.25">
      <c r="A240" s="43"/>
      <c r="B240" s="44"/>
      <c r="C240" s="38"/>
      <c r="D240" s="38"/>
      <c r="E240" s="38"/>
      <c r="F240" s="38"/>
      <c r="G240" s="38"/>
      <c r="H240" s="38"/>
      <c r="I240" s="148"/>
    </row>
    <row r="241" spans="1:9" x14ac:dyDescent="0.25">
      <c r="A241" s="43"/>
      <c r="B241" s="44"/>
      <c r="C241" s="38"/>
      <c r="D241" s="38"/>
      <c r="E241" s="38"/>
      <c r="F241" s="38"/>
      <c r="G241" s="38"/>
      <c r="H241" s="38"/>
      <c r="I241" s="148"/>
    </row>
    <row r="242" spans="1:9" x14ac:dyDescent="0.25">
      <c r="A242" s="43"/>
      <c r="B242" s="44"/>
      <c r="C242" s="38"/>
      <c r="D242" s="38"/>
      <c r="E242" s="38"/>
      <c r="F242" s="38"/>
      <c r="G242" s="38"/>
      <c r="H242" s="38"/>
      <c r="I242" s="148"/>
    </row>
    <row r="243" spans="1:9" x14ac:dyDescent="0.25">
      <c r="A243" s="43"/>
      <c r="B243" s="44"/>
      <c r="C243" s="38"/>
      <c r="D243" s="38"/>
      <c r="E243" s="38"/>
      <c r="F243" s="38"/>
      <c r="G243" s="38"/>
      <c r="H243" s="38"/>
      <c r="I243" s="148"/>
    </row>
    <row r="244" spans="1:9" x14ac:dyDescent="0.25">
      <c r="A244" s="43"/>
      <c r="B244" s="44"/>
      <c r="C244" s="38"/>
      <c r="D244" s="38"/>
      <c r="E244" s="38"/>
      <c r="F244" s="38"/>
      <c r="G244" s="38"/>
      <c r="H244" s="38"/>
      <c r="I244" s="148"/>
    </row>
    <row r="245" spans="1:9" x14ac:dyDescent="0.25">
      <c r="A245" s="43"/>
      <c r="B245" s="44"/>
      <c r="C245" s="38"/>
      <c r="D245" s="38"/>
      <c r="E245" s="38"/>
      <c r="F245" s="38"/>
      <c r="G245" s="38"/>
      <c r="H245" s="38"/>
      <c r="I245" s="148"/>
    </row>
    <row r="246" spans="1:9" x14ac:dyDescent="0.25">
      <c r="A246" s="43"/>
      <c r="B246" s="44"/>
      <c r="C246" s="38"/>
      <c r="D246" s="38"/>
      <c r="E246" s="38"/>
      <c r="F246" s="38"/>
      <c r="G246" s="38"/>
      <c r="H246" s="38"/>
      <c r="I246" s="148"/>
    </row>
    <row r="247" spans="1:9" x14ac:dyDescent="0.25">
      <c r="A247" s="43"/>
      <c r="B247" s="44"/>
      <c r="C247" s="38"/>
      <c r="D247" s="38"/>
      <c r="E247" s="38"/>
      <c r="F247" s="38"/>
      <c r="G247" s="38"/>
      <c r="H247" s="38"/>
      <c r="I247" s="148"/>
    </row>
    <row r="248" spans="1:9" x14ac:dyDescent="0.25">
      <c r="A248" s="43"/>
      <c r="B248" s="44"/>
      <c r="C248" s="38"/>
      <c r="D248" s="38"/>
      <c r="E248" s="38"/>
      <c r="F248" s="38"/>
      <c r="G248" s="38"/>
      <c r="H248" s="38"/>
      <c r="I248" s="148"/>
    </row>
    <row r="249" spans="1:9" x14ac:dyDescent="0.25">
      <c r="A249" s="43"/>
      <c r="B249" s="44"/>
      <c r="C249" s="38"/>
      <c r="D249" s="38"/>
      <c r="E249" s="38"/>
      <c r="F249" s="38"/>
      <c r="G249" s="38"/>
      <c r="H249" s="38"/>
      <c r="I249" s="148"/>
    </row>
    <row r="250" spans="1:9" x14ac:dyDescent="0.25">
      <c r="A250" s="43"/>
      <c r="B250" s="44"/>
      <c r="C250" s="38"/>
      <c r="D250" s="38"/>
      <c r="E250" s="38"/>
      <c r="F250" s="38"/>
      <c r="G250" s="38"/>
      <c r="H250" s="38"/>
      <c r="I250" s="148"/>
    </row>
    <row r="251" spans="1:9" x14ac:dyDescent="0.25">
      <c r="A251" s="43"/>
      <c r="B251" s="44"/>
      <c r="C251" s="38"/>
      <c r="D251" s="38"/>
      <c r="E251" s="38"/>
      <c r="F251" s="38"/>
      <c r="G251" s="38"/>
      <c r="H251" s="38"/>
      <c r="I251" s="148"/>
    </row>
    <row r="252" spans="1:9" x14ac:dyDescent="0.25">
      <c r="A252" s="43"/>
      <c r="B252" s="44"/>
      <c r="C252" s="38"/>
      <c r="D252" s="38"/>
      <c r="E252" s="38"/>
      <c r="F252" s="38"/>
      <c r="G252" s="38"/>
      <c r="H252" s="38"/>
      <c r="I252" s="148"/>
    </row>
    <row r="253" spans="1:9" x14ac:dyDescent="0.25">
      <c r="A253" s="43"/>
      <c r="B253" s="44"/>
      <c r="C253" s="38"/>
      <c r="D253" s="38"/>
      <c r="E253" s="38"/>
      <c r="F253" s="38"/>
      <c r="G253" s="38"/>
      <c r="H253" s="38"/>
      <c r="I253" s="148"/>
    </row>
    <row r="254" spans="1:9" x14ac:dyDescent="0.25">
      <c r="A254" s="43"/>
      <c r="B254" s="44"/>
      <c r="C254" s="38"/>
      <c r="D254" s="38"/>
      <c r="E254" s="38"/>
      <c r="F254" s="38"/>
      <c r="G254" s="38"/>
      <c r="H254" s="38"/>
      <c r="I254" s="148"/>
    </row>
    <row r="255" spans="1:9" x14ac:dyDescent="0.25">
      <c r="A255" s="43"/>
      <c r="B255" s="44"/>
      <c r="C255" s="38"/>
      <c r="D255" s="38"/>
      <c r="E255" s="38"/>
      <c r="F255" s="38"/>
      <c r="G255" s="38"/>
      <c r="H255" s="38"/>
      <c r="I255" s="148"/>
    </row>
    <row r="256" spans="1:9" x14ac:dyDescent="0.25">
      <c r="A256" s="43"/>
      <c r="B256" s="44"/>
      <c r="C256" s="38"/>
      <c r="D256" s="38"/>
      <c r="E256" s="38"/>
      <c r="F256" s="38"/>
      <c r="G256" s="38"/>
      <c r="H256" s="38"/>
      <c r="I256" s="148"/>
    </row>
    <row r="257" spans="1:9" x14ac:dyDescent="0.25">
      <c r="A257" s="43"/>
      <c r="B257" s="44"/>
      <c r="C257" s="38"/>
      <c r="D257" s="38"/>
      <c r="E257" s="38"/>
      <c r="F257" s="38"/>
      <c r="G257" s="38"/>
      <c r="H257" s="38"/>
      <c r="I257" s="148"/>
    </row>
    <row r="258" spans="1:9" x14ac:dyDescent="0.25">
      <c r="A258" s="43"/>
      <c r="B258" s="44"/>
      <c r="C258" s="38"/>
      <c r="D258" s="38"/>
      <c r="E258" s="38"/>
      <c r="F258" s="38"/>
      <c r="G258" s="38"/>
      <c r="H258" s="38"/>
      <c r="I258" s="148"/>
    </row>
    <row r="259" spans="1:9" x14ac:dyDescent="0.25">
      <c r="A259" s="43"/>
      <c r="B259" s="44"/>
      <c r="C259" s="38"/>
      <c r="D259" s="38"/>
      <c r="E259" s="38"/>
      <c r="F259" s="38"/>
      <c r="G259" s="38"/>
      <c r="H259" s="38"/>
      <c r="I259" s="148"/>
    </row>
    <row r="260" spans="1:9" x14ac:dyDescent="0.25">
      <c r="A260" s="43"/>
      <c r="B260" s="44"/>
      <c r="C260" s="38"/>
      <c r="D260" s="38"/>
      <c r="E260" s="38"/>
      <c r="F260" s="38"/>
      <c r="G260" s="38"/>
      <c r="H260" s="38"/>
      <c r="I260" s="148"/>
    </row>
    <row r="261" spans="1:9" x14ac:dyDescent="0.25">
      <c r="A261" s="43"/>
      <c r="B261" s="44"/>
      <c r="C261" s="38"/>
      <c r="D261" s="38"/>
      <c r="E261" s="38"/>
      <c r="F261" s="38"/>
      <c r="G261" s="38"/>
      <c r="H261" s="38"/>
      <c r="I261" s="148"/>
    </row>
    <row r="262" spans="1:9" x14ac:dyDescent="0.25">
      <c r="A262" s="43"/>
      <c r="B262" s="44"/>
      <c r="C262" s="38"/>
      <c r="D262" s="38"/>
      <c r="E262" s="38"/>
      <c r="F262" s="38"/>
      <c r="G262" s="38"/>
      <c r="H262" s="38"/>
      <c r="I262" s="148"/>
    </row>
    <row r="263" spans="1:9" x14ac:dyDescent="0.25">
      <c r="A263" s="43"/>
      <c r="B263" s="44"/>
      <c r="C263" s="38"/>
      <c r="D263" s="38"/>
      <c r="E263" s="38"/>
      <c r="F263" s="38"/>
      <c r="G263" s="38"/>
      <c r="H263" s="38"/>
      <c r="I263" s="148"/>
    </row>
    <row r="264" spans="1:9" x14ac:dyDescent="0.25">
      <c r="A264" s="43"/>
      <c r="B264" s="44"/>
      <c r="C264" s="38"/>
      <c r="D264" s="38"/>
      <c r="E264" s="38"/>
      <c r="F264" s="38"/>
      <c r="G264" s="38"/>
      <c r="H264" s="38"/>
      <c r="I264" s="148"/>
    </row>
    <row r="265" spans="1:9" x14ac:dyDescent="0.25">
      <c r="A265" s="43"/>
      <c r="B265" s="44"/>
      <c r="C265" s="38"/>
      <c r="D265" s="38"/>
      <c r="E265" s="38"/>
      <c r="F265" s="38"/>
      <c r="G265" s="38"/>
      <c r="H265" s="38"/>
      <c r="I265" s="148"/>
    </row>
    <row r="266" spans="1:9" x14ac:dyDescent="0.25">
      <c r="A266" s="43"/>
      <c r="B266" s="44"/>
      <c r="C266" s="38"/>
      <c r="D266" s="38"/>
      <c r="E266" s="38"/>
      <c r="F266" s="38"/>
      <c r="G266" s="38"/>
      <c r="H266" s="38"/>
      <c r="I266" s="148"/>
    </row>
    <row r="267" spans="1:9" x14ac:dyDescent="0.25">
      <c r="A267" s="43"/>
      <c r="B267" s="44"/>
      <c r="C267" s="38"/>
      <c r="D267" s="38"/>
      <c r="E267" s="38"/>
      <c r="F267" s="38"/>
      <c r="G267" s="38"/>
      <c r="H267" s="38"/>
      <c r="I267" s="148"/>
    </row>
    <row r="268" spans="1:9" x14ac:dyDescent="0.25">
      <c r="A268" s="43"/>
      <c r="B268" s="44"/>
      <c r="C268" s="38"/>
      <c r="D268" s="38"/>
      <c r="E268" s="38"/>
      <c r="F268" s="38"/>
      <c r="G268" s="38"/>
      <c r="H268" s="38"/>
      <c r="I268" s="148"/>
    </row>
    <row r="269" spans="1:9" x14ac:dyDescent="0.25">
      <c r="A269" s="43"/>
      <c r="B269" s="44"/>
      <c r="C269" s="38"/>
      <c r="D269" s="38"/>
      <c r="E269" s="38"/>
      <c r="F269" s="38"/>
      <c r="G269" s="38"/>
      <c r="H269" s="38"/>
      <c r="I269" s="148"/>
    </row>
    <row r="270" spans="1:9" x14ac:dyDescent="0.25">
      <c r="A270" s="43"/>
      <c r="B270" s="44"/>
      <c r="C270" s="38"/>
      <c r="D270" s="38"/>
      <c r="E270" s="38"/>
      <c r="F270" s="38"/>
      <c r="G270" s="38"/>
      <c r="H270" s="38"/>
      <c r="I270" s="148"/>
    </row>
    <row r="271" spans="1:9" x14ac:dyDescent="0.25">
      <c r="A271" s="43"/>
      <c r="B271" s="44"/>
      <c r="C271" s="38"/>
      <c r="D271" s="38"/>
      <c r="E271" s="38"/>
      <c r="F271" s="38"/>
      <c r="G271" s="38"/>
      <c r="H271" s="38"/>
      <c r="I271" s="148"/>
    </row>
    <row r="272" spans="1:9" x14ac:dyDescent="0.25">
      <c r="A272" s="43"/>
      <c r="B272" s="44"/>
      <c r="C272" s="38"/>
      <c r="D272" s="38"/>
      <c r="E272" s="38"/>
      <c r="F272" s="38"/>
      <c r="G272" s="38"/>
      <c r="H272" s="38"/>
      <c r="I272" s="148"/>
    </row>
    <row r="273" spans="1:9" x14ac:dyDescent="0.25">
      <c r="A273" s="43"/>
      <c r="B273" s="44"/>
      <c r="C273" s="38"/>
      <c r="D273" s="38"/>
      <c r="E273" s="38"/>
      <c r="F273" s="38"/>
      <c r="G273" s="38"/>
      <c r="H273" s="38"/>
      <c r="I273" s="148"/>
    </row>
    <row r="274" spans="1:9" x14ac:dyDescent="0.25">
      <c r="A274" s="43"/>
      <c r="B274" s="44"/>
      <c r="C274" s="38"/>
      <c r="D274" s="38"/>
      <c r="E274" s="38"/>
      <c r="F274" s="38"/>
      <c r="G274" s="38"/>
      <c r="H274" s="38"/>
      <c r="I274" s="148"/>
    </row>
    <row r="275" spans="1:9" x14ac:dyDescent="0.25">
      <c r="A275" s="43"/>
      <c r="B275" s="44"/>
      <c r="C275" s="38"/>
      <c r="D275" s="38"/>
      <c r="E275" s="38"/>
      <c r="F275" s="38"/>
      <c r="G275" s="38"/>
      <c r="H275" s="38"/>
      <c r="I275" s="148"/>
    </row>
    <row r="276" spans="1:9" x14ac:dyDescent="0.25">
      <c r="A276" s="43"/>
      <c r="B276" s="44"/>
      <c r="C276" s="38"/>
      <c r="D276" s="38"/>
      <c r="E276" s="38"/>
      <c r="F276" s="38"/>
      <c r="G276" s="38"/>
      <c r="H276" s="38"/>
      <c r="I276" s="148"/>
    </row>
    <row r="277" spans="1:9" x14ac:dyDescent="0.25">
      <c r="A277" s="43"/>
      <c r="B277" s="44"/>
      <c r="C277" s="38"/>
      <c r="D277" s="38"/>
      <c r="E277" s="38"/>
      <c r="F277" s="38"/>
      <c r="G277" s="38"/>
      <c r="H277" s="38"/>
      <c r="I277" s="148"/>
    </row>
    <row r="278" spans="1:9" x14ac:dyDescent="0.25">
      <c r="A278" s="43"/>
      <c r="B278" s="44"/>
      <c r="C278" s="38"/>
      <c r="D278" s="38"/>
      <c r="E278" s="38"/>
      <c r="F278" s="38"/>
      <c r="G278" s="38"/>
      <c r="H278" s="38"/>
      <c r="I278" s="148"/>
    </row>
    <row r="279" spans="1:9" x14ac:dyDescent="0.25">
      <c r="A279" s="43"/>
      <c r="B279" s="44"/>
      <c r="C279" s="38"/>
      <c r="D279" s="38"/>
      <c r="E279" s="38"/>
      <c r="F279" s="38"/>
      <c r="G279" s="38"/>
      <c r="H279" s="38"/>
      <c r="I279" s="148"/>
    </row>
    <row r="280" spans="1:9" x14ac:dyDescent="0.25">
      <c r="A280" s="43"/>
      <c r="B280" s="44"/>
      <c r="C280" s="38"/>
      <c r="D280" s="38"/>
      <c r="E280" s="38"/>
      <c r="F280" s="38"/>
      <c r="G280" s="38"/>
      <c r="H280" s="38"/>
      <c r="I280" s="148"/>
    </row>
    <row r="281" spans="1:9" x14ac:dyDescent="0.25">
      <c r="A281" s="43"/>
      <c r="B281" s="44"/>
      <c r="C281" s="38"/>
      <c r="D281" s="38"/>
      <c r="E281" s="38"/>
      <c r="F281" s="38"/>
      <c r="G281" s="38"/>
      <c r="H281" s="38"/>
      <c r="I281" s="148"/>
    </row>
    <row r="282" spans="1:9" x14ac:dyDescent="0.25">
      <c r="A282" s="43"/>
      <c r="B282" s="44"/>
      <c r="C282" s="38"/>
      <c r="D282" s="38"/>
      <c r="E282" s="38"/>
      <c r="F282" s="38"/>
      <c r="G282" s="38"/>
      <c r="H282" s="38"/>
      <c r="I282" s="148"/>
    </row>
    <row r="283" spans="1:9" x14ac:dyDescent="0.25">
      <c r="A283" s="43"/>
      <c r="B283" s="44"/>
      <c r="C283" s="38"/>
      <c r="D283" s="38"/>
      <c r="E283" s="38"/>
      <c r="F283" s="38"/>
      <c r="G283" s="38"/>
      <c r="H283" s="38"/>
      <c r="I283" s="148"/>
    </row>
    <row r="284" spans="1:9" x14ac:dyDescent="0.25">
      <c r="A284" s="43"/>
      <c r="B284" s="44"/>
      <c r="C284" s="38"/>
      <c r="D284" s="38"/>
      <c r="E284" s="38"/>
      <c r="F284" s="38"/>
      <c r="G284" s="38"/>
      <c r="H284" s="38"/>
      <c r="I284" s="148"/>
    </row>
    <row r="285" spans="1:9" x14ac:dyDescent="0.25">
      <c r="A285" s="43"/>
      <c r="B285" s="44"/>
      <c r="C285" s="38"/>
      <c r="D285" s="38"/>
      <c r="E285" s="38"/>
      <c r="F285" s="38"/>
      <c r="G285" s="38"/>
      <c r="H285" s="38"/>
      <c r="I285" s="148"/>
    </row>
    <row r="286" spans="1:9" x14ac:dyDescent="0.25">
      <c r="A286" s="43"/>
      <c r="B286" s="44"/>
      <c r="C286" s="38"/>
      <c r="D286" s="38"/>
      <c r="E286" s="38"/>
      <c r="F286" s="38"/>
      <c r="G286" s="38"/>
      <c r="H286" s="38"/>
      <c r="I286" s="148"/>
    </row>
    <row r="287" spans="1:9" x14ac:dyDescent="0.25">
      <c r="A287" s="43"/>
      <c r="B287" s="44"/>
      <c r="C287" s="38"/>
      <c r="D287" s="38"/>
      <c r="E287" s="38"/>
      <c r="F287" s="38"/>
      <c r="G287" s="38"/>
      <c r="H287" s="38"/>
      <c r="I287" s="148"/>
    </row>
    <row r="288" spans="1:9" x14ac:dyDescent="0.25">
      <c r="A288" s="43"/>
      <c r="B288" s="44"/>
      <c r="C288" s="38"/>
      <c r="D288" s="38"/>
      <c r="E288" s="38"/>
      <c r="F288" s="38"/>
      <c r="G288" s="38"/>
      <c r="H288" s="38"/>
      <c r="I288" s="148"/>
    </row>
    <row r="289" spans="1:9" x14ac:dyDescent="0.25">
      <c r="A289" s="43"/>
      <c r="B289" s="44"/>
      <c r="C289" s="38"/>
      <c r="D289" s="38"/>
      <c r="E289" s="38"/>
      <c r="F289" s="38"/>
      <c r="G289" s="38"/>
      <c r="H289" s="38"/>
      <c r="I289" s="148"/>
    </row>
    <row r="290" spans="1:9" x14ac:dyDescent="0.25">
      <c r="A290" s="43"/>
      <c r="B290" s="44"/>
      <c r="C290" s="38"/>
      <c r="D290" s="38"/>
      <c r="E290" s="38"/>
      <c r="F290" s="38"/>
      <c r="G290" s="38"/>
      <c r="H290" s="38"/>
      <c r="I290" s="148"/>
    </row>
    <row r="291" spans="1:9" x14ac:dyDescent="0.25">
      <c r="A291" s="43"/>
      <c r="B291" s="44"/>
      <c r="C291" s="38"/>
      <c r="D291" s="38"/>
      <c r="E291" s="38"/>
      <c r="F291" s="38"/>
      <c r="G291" s="38"/>
      <c r="H291" s="38"/>
      <c r="I291" s="148"/>
    </row>
    <row r="292" spans="1:9" x14ac:dyDescent="0.25">
      <c r="A292" s="43"/>
      <c r="B292" s="44"/>
      <c r="C292" s="38"/>
      <c r="D292" s="38"/>
      <c r="E292" s="38"/>
      <c r="F292" s="38"/>
      <c r="G292" s="38"/>
      <c r="H292" s="38"/>
      <c r="I292" s="148"/>
    </row>
    <row r="293" spans="1:9" x14ac:dyDescent="0.25">
      <c r="A293" s="43"/>
      <c r="B293" s="44"/>
      <c r="C293" s="38"/>
      <c r="D293" s="38"/>
      <c r="E293" s="38"/>
      <c r="F293" s="38"/>
      <c r="G293" s="38"/>
      <c r="H293" s="38"/>
      <c r="I293" s="148"/>
    </row>
    <row r="294" spans="1:9" x14ac:dyDescent="0.25">
      <c r="A294" s="43"/>
      <c r="B294" s="44"/>
      <c r="C294" s="38"/>
      <c r="D294" s="38"/>
      <c r="E294" s="38"/>
      <c r="F294" s="38"/>
      <c r="G294" s="38"/>
      <c r="H294" s="38"/>
      <c r="I294" s="148"/>
    </row>
    <row r="295" spans="1:9" x14ac:dyDescent="0.25">
      <c r="A295" s="43"/>
      <c r="B295" s="44"/>
      <c r="C295" s="38"/>
      <c r="D295" s="38"/>
      <c r="E295" s="38"/>
      <c r="F295" s="38"/>
      <c r="G295" s="38"/>
      <c r="H295" s="38"/>
      <c r="I295" s="148"/>
    </row>
    <row r="296" spans="1:9" x14ac:dyDescent="0.25">
      <c r="A296" s="43"/>
      <c r="B296" s="44"/>
      <c r="C296" s="38"/>
      <c r="D296" s="38"/>
      <c r="E296" s="38"/>
      <c r="F296" s="38"/>
      <c r="G296" s="38"/>
      <c r="H296" s="38"/>
      <c r="I296" s="148"/>
    </row>
    <row r="297" spans="1:9" x14ac:dyDescent="0.25">
      <c r="A297" s="43"/>
      <c r="B297" s="44"/>
      <c r="C297" s="38"/>
      <c r="D297" s="38"/>
      <c r="E297" s="38"/>
      <c r="F297" s="38"/>
      <c r="G297" s="38"/>
      <c r="H297" s="38"/>
      <c r="I297" s="148"/>
    </row>
    <row r="298" spans="1:9" x14ac:dyDescent="0.25">
      <c r="A298" s="43"/>
      <c r="B298" s="44"/>
      <c r="C298" s="38"/>
      <c r="D298" s="38"/>
      <c r="E298" s="38"/>
      <c r="F298" s="38"/>
      <c r="G298" s="38"/>
      <c r="H298" s="38"/>
      <c r="I298" s="148"/>
    </row>
    <row r="299" spans="1:9" x14ac:dyDescent="0.25">
      <c r="A299" s="43"/>
      <c r="B299" s="44"/>
      <c r="C299" s="38"/>
      <c r="D299" s="38"/>
      <c r="E299" s="38"/>
      <c r="F299" s="38"/>
      <c r="G299" s="38"/>
      <c r="H299" s="38"/>
      <c r="I299" s="148"/>
    </row>
    <row r="300" spans="1:9" x14ac:dyDescent="0.25">
      <c r="A300" s="43"/>
      <c r="B300" s="44"/>
      <c r="C300" s="38"/>
      <c r="D300" s="38"/>
      <c r="E300" s="38"/>
      <c r="F300" s="38"/>
      <c r="G300" s="38"/>
      <c r="H300" s="38"/>
      <c r="I300" s="148"/>
    </row>
    <row r="301" spans="1:9" x14ac:dyDescent="0.25">
      <c r="A301" s="43"/>
      <c r="B301" s="44"/>
      <c r="C301" s="38"/>
      <c r="D301" s="38"/>
      <c r="E301" s="38"/>
      <c r="F301" s="38"/>
      <c r="G301" s="38"/>
      <c r="H301" s="38"/>
      <c r="I301" s="148"/>
    </row>
    <row r="302" spans="1:9" x14ac:dyDescent="0.25">
      <c r="A302" s="43"/>
      <c r="B302" s="44"/>
      <c r="C302" s="38"/>
      <c r="D302" s="38"/>
      <c r="E302" s="38"/>
      <c r="F302" s="38"/>
      <c r="G302" s="38"/>
      <c r="H302" s="38"/>
      <c r="I302" s="148"/>
    </row>
    <row r="303" spans="1:9" x14ac:dyDescent="0.25">
      <c r="A303" s="43"/>
      <c r="B303" s="44"/>
      <c r="C303" s="38"/>
      <c r="D303" s="38"/>
      <c r="E303" s="38"/>
      <c r="F303" s="38"/>
      <c r="G303" s="38"/>
      <c r="H303" s="38"/>
      <c r="I303" s="148"/>
    </row>
    <row r="304" spans="1:9" x14ac:dyDescent="0.25">
      <c r="A304" s="43"/>
      <c r="B304" s="44"/>
      <c r="C304" s="38"/>
      <c r="D304" s="38"/>
      <c r="E304" s="38"/>
      <c r="F304" s="38"/>
      <c r="G304" s="38"/>
      <c r="H304" s="38"/>
      <c r="I304" s="148"/>
    </row>
    <row r="305" spans="1:9" x14ac:dyDescent="0.25">
      <c r="A305" s="43"/>
      <c r="B305" s="44"/>
      <c r="C305" s="38"/>
      <c r="D305" s="38"/>
      <c r="E305" s="38"/>
      <c r="F305" s="38"/>
      <c r="G305" s="38"/>
      <c r="H305" s="38"/>
      <c r="I305" s="148"/>
    </row>
    <row r="306" spans="1:9" x14ac:dyDescent="0.25">
      <c r="A306" s="43"/>
      <c r="B306" s="44"/>
      <c r="C306" s="38"/>
      <c r="D306" s="38"/>
      <c r="E306" s="38"/>
      <c r="F306" s="38"/>
      <c r="G306" s="38"/>
      <c r="H306" s="38"/>
      <c r="I306" s="148"/>
    </row>
    <row r="307" spans="1:9" x14ac:dyDescent="0.25">
      <c r="A307" s="43"/>
      <c r="B307" s="44"/>
      <c r="C307" s="38"/>
      <c r="D307" s="38"/>
      <c r="E307" s="38"/>
      <c r="F307" s="38"/>
      <c r="G307" s="38"/>
      <c r="H307" s="38"/>
      <c r="I307" s="148"/>
    </row>
    <row r="308" spans="1:9" x14ac:dyDescent="0.25">
      <c r="A308" s="43"/>
      <c r="B308" s="44"/>
      <c r="C308" s="38"/>
      <c r="D308" s="38"/>
      <c r="E308" s="38"/>
      <c r="F308" s="38"/>
      <c r="G308" s="38"/>
      <c r="H308" s="38"/>
      <c r="I308" s="148"/>
    </row>
    <row r="309" spans="1:9" x14ac:dyDescent="0.25">
      <c r="A309" s="43"/>
      <c r="B309" s="44"/>
      <c r="C309" s="38"/>
      <c r="D309" s="38"/>
      <c r="E309" s="38"/>
      <c r="F309" s="38"/>
      <c r="G309" s="38"/>
      <c r="H309" s="38"/>
      <c r="I309" s="148"/>
    </row>
    <row r="310" spans="1:9" x14ac:dyDescent="0.25">
      <c r="A310" s="43"/>
      <c r="B310" s="44"/>
      <c r="C310" s="38"/>
      <c r="D310" s="38"/>
      <c r="E310" s="38"/>
      <c r="F310" s="38"/>
      <c r="G310" s="38"/>
      <c r="H310" s="38"/>
      <c r="I310" s="148"/>
    </row>
    <row r="311" spans="1:9" x14ac:dyDescent="0.25">
      <c r="A311" s="43"/>
      <c r="B311" s="44"/>
      <c r="C311" s="38"/>
      <c r="D311" s="38"/>
      <c r="E311" s="38"/>
      <c r="F311" s="38"/>
      <c r="G311" s="38"/>
      <c r="H311" s="38"/>
      <c r="I311" s="148"/>
    </row>
    <row r="312" spans="1:9" x14ac:dyDescent="0.25">
      <c r="A312" s="43"/>
      <c r="B312" s="44"/>
      <c r="C312" s="38"/>
      <c r="D312" s="38"/>
      <c r="E312" s="38"/>
      <c r="F312" s="38"/>
      <c r="G312" s="38"/>
      <c r="H312" s="38"/>
      <c r="I312" s="148"/>
    </row>
    <row r="313" spans="1:9" x14ac:dyDescent="0.25">
      <c r="A313" s="43"/>
      <c r="B313" s="44"/>
      <c r="C313" s="38"/>
      <c r="D313" s="38"/>
      <c r="E313" s="38"/>
      <c r="F313" s="38"/>
      <c r="G313" s="38"/>
      <c r="H313" s="38"/>
      <c r="I313" s="148"/>
    </row>
    <row r="314" spans="1:9" x14ac:dyDescent="0.25">
      <c r="A314" s="43"/>
      <c r="B314" s="44"/>
      <c r="C314" s="38"/>
      <c r="D314" s="38"/>
      <c r="E314" s="38"/>
      <c r="F314" s="38"/>
      <c r="G314" s="38"/>
      <c r="H314" s="38"/>
      <c r="I314" s="148"/>
    </row>
    <row r="315" spans="1:9" x14ac:dyDescent="0.25">
      <c r="A315" s="43"/>
      <c r="B315" s="44"/>
      <c r="C315" s="38"/>
      <c r="D315" s="38"/>
      <c r="E315" s="38"/>
      <c r="F315" s="38"/>
      <c r="G315" s="38"/>
      <c r="H315" s="38"/>
      <c r="I315" s="148"/>
    </row>
    <row r="316" spans="1:9" x14ac:dyDescent="0.25">
      <c r="A316" s="43"/>
      <c r="B316" s="44"/>
      <c r="C316" s="38"/>
      <c r="D316" s="38"/>
      <c r="E316" s="38"/>
      <c r="F316" s="38"/>
      <c r="G316" s="38"/>
      <c r="H316" s="38"/>
      <c r="I316" s="148"/>
    </row>
    <row r="317" spans="1:9" x14ac:dyDescent="0.25">
      <c r="A317" s="43"/>
      <c r="B317" s="44"/>
      <c r="C317" s="38"/>
      <c r="D317" s="38"/>
      <c r="E317" s="38"/>
      <c r="F317" s="38"/>
      <c r="G317" s="38"/>
      <c r="H317" s="38"/>
      <c r="I317" s="148"/>
    </row>
    <row r="318" spans="1:9" x14ac:dyDescent="0.25">
      <c r="A318" s="43"/>
      <c r="B318" s="44"/>
      <c r="C318" s="38"/>
      <c r="D318" s="38"/>
      <c r="E318" s="38"/>
      <c r="F318" s="38"/>
      <c r="G318" s="38"/>
      <c r="H318" s="38"/>
      <c r="I318" s="148"/>
    </row>
    <row r="319" spans="1:9" x14ac:dyDescent="0.25">
      <c r="A319" s="43"/>
      <c r="B319" s="44"/>
      <c r="C319" s="38"/>
      <c r="D319" s="38"/>
      <c r="E319" s="38"/>
      <c r="F319" s="38"/>
      <c r="G319" s="38"/>
      <c r="H319" s="38"/>
      <c r="I319" s="148"/>
    </row>
    <row r="320" spans="1:9" x14ac:dyDescent="0.25">
      <c r="A320" s="43"/>
      <c r="B320" s="44"/>
      <c r="C320" s="38"/>
      <c r="D320" s="38"/>
      <c r="E320" s="38"/>
      <c r="F320" s="38"/>
      <c r="G320" s="38"/>
      <c r="H320" s="38"/>
      <c r="I320" s="148"/>
    </row>
    <row r="321" spans="1:9" x14ac:dyDescent="0.25">
      <c r="A321" s="43"/>
      <c r="B321" s="44"/>
      <c r="C321" s="38"/>
      <c r="D321" s="38"/>
      <c r="E321" s="38"/>
      <c r="F321" s="38"/>
      <c r="G321" s="38"/>
      <c r="H321" s="38"/>
      <c r="I321" s="148"/>
    </row>
    <row r="322" spans="1:9" x14ac:dyDescent="0.25">
      <c r="A322" s="43"/>
      <c r="B322" s="44"/>
      <c r="C322" s="38"/>
      <c r="D322" s="38"/>
      <c r="E322" s="38"/>
      <c r="F322" s="38"/>
      <c r="G322" s="38"/>
      <c r="H322" s="38"/>
      <c r="I322" s="148"/>
    </row>
    <row r="323" spans="1:9" x14ac:dyDescent="0.25">
      <c r="A323" s="43"/>
      <c r="B323" s="44"/>
      <c r="C323" s="38"/>
      <c r="D323" s="38"/>
      <c r="E323" s="38"/>
      <c r="F323" s="38"/>
      <c r="G323" s="38"/>
      <c r="H323" s="38"/>
      <c r="I323" s="148"/>
    </row>
    <row r="324" spans="1:9" x14ac:dyDescent="0.25">
      <c r="A324" s="43"/>
      <c r="B324" s="44"/>
      <c r="C324" s="38"/>
      <c r="D324" s="38"/>
      <c r="E324" s="38"/>
      <c r="F324" s="38"/>
      <c r="G324" s="38"/>
      <c r="H324" s="38"/>
      <c r="I324" s="148"/>
    </row>
    <row r="325" spans="1:9" x14ac:dyDescent="0.25">
      <c r="A325" s="43"/>
      <c r="B325" s="44"/>
      <c r="C325" s="38"/>
      <c r="D325" s="38"/>
      <c r="E325" s="38"/>
      <c r="F325" s="38"/>
      <c r="G325" s="38"/>
      <c r="H325" s="38"/>
      <c r="I325" s="148"/>
    </row>
    <row r="326" spans="1:9" x14ac:dyDescent="0.25">
      <c r="A326" s="43"/>
      <c r="B326" s="44"/>
      <c r="C326" s="38"/>
      <c r="D326" s="38"/>
      <c r="E326" s="38"/>
      <c r="F326" s="38"/>
      <c r="G326" s="38"/>
      <c r="H326" s="38"/>
      <c r="I326" s="148"/>
    </row>
    <row r="327" spans="1:9" x14ac:dyDescent="0.25">
      <c r="A327" s="43"/>
      <c r="B327" s="44"/>
      <c r="C327" s="38"/>
      <c r="D327" s="38"/>
      <c r="E327" s="38"/>
      <c r="F327" s="38"/>
      <c r="G327" s="38"/>
      <c r="H327" s="38"/>
      <c r="I327" s="148"/>
    </row>
    <row r="328" spans="1:9" x14ac:dyDescent="0.25">
      <c r="A328" s="43"/>
      <c r="B328" s="44"/>
      <c r="C328" s="38"/>
      <c r="D328" s="38"/>
      <c r="E328" s="38"/>
      <c r="F328" s="38"/>
      <c r="G328" s="38"/>
      <c r="H328" s="38"/>
      <c r="I328" s="148"/>
    </row>
    <row r="329" spans="1:9" x14ac:dyDescent="0.25">
      <c r="A329" s="43"/>
      <c r="B329" s="44"/>
      <c r="C329" s="38"/>
      <c r="D329" s="38"/>
      <c r="E329" s="38"/>
      <c r="F329" s="38"/>
      <c r="G329" s="38"/>
      <c r="H329" s="38"/>
      <c r="I329" s="148"/>
    </row>
    <row r="330" spans="1:9" x14ac:dyDescent="0.25">
      <c r="A330" s="43"/>
      <c r="B330" s="44"/>
      <c r="C330" s="38"/>
      <c r="D330" s="38"/>
      <c r="E330" s="38"/>
      <c r="F330" s="38"/>
      <c r="G330" s="38"/>
      <c r="H330" s="38"/>
      <c r="I330" s="148"/>
    </row>
    <row r="331" spans="1:9" x14ac:dyDescent="0.25">
      <c r="A331" s="43"/>
      <c r="B331" s="44"/>
      <c r="C331" s="38"/>
      <c r="D331" s="38"/>
      <c r="E331" s="38"/>
      <c r="F331" s="38"/>
      <c r="G331" s="38"/>
      <c r="H331" s="38"/>
      <c r="I331" s="148"/>
    </row>
    <row r="332" spans="1:9" x14ac:dyDescent="0.25">
      <c r="A332" s="43"/>
      <c r="B332" s="44"/>
      <c r="C332" s="38"/>
      <c r="D332" s="38"/>
      <c r="E332" s="38"/>
      <c r="F332" s="38"/>
      <c r="G332" s="38"/>
      <c r="H332" s="38"/>
      <c r="I332" s="148"/>
    </row>
    <row r="333" spans="1:9" x14ac:dyDescent="0.25">
      <c r="A333" s="43"/>
      <c r="B333" s="44"/>
      <c r="C333" s="38"/>
      <c r="D333" s="38"/>
      <c r="E333" s="38"/>
      <c r="F333" s="38"/>
      <c r="G333" s="38"/>
      <c r="H333" s="38"/>
      <c r="I333" s="148"/>
    </row>
    <row r="334" spans="1:9" x14ac:dyDescent="0.25">
      <c r="A334" s="43"/>
      <c r="B334" s="44"/>
      <c r="C334" s="38"/>
      <c r="D334" s="38"/>
      <c r="E334" s="38"/>
      <c r="F334" s="38"/>
      <c r="G334" s="38"/>
      <c r="H334" s="38"/>
      <c r="I334" s="148"/>
    </row>
  </sheetData>
  <mergeCells count="106">
    <mergeCell ref="I219:I220"/>
    <mergeCell ref="C222:C223"/>
    <mergeCell ref="D219:D220"/>
    <mergeCell ref="E219:E220"/>
    <mergeCell ref="F219:F220"/>
    <mergeCell ref="G219:G220"/>
    <mergeCell ref="B222:B223"/>
    <mergeCell ref="B219:B220"/>
    <mergeCell ref="C219:C220"/>
    <mergeCell ref="H219:H220"/>
    <mergeCell ref="C174:C176"/>
    <mergeCell ref="B215:B216"/>
    <mergeCell ref="A174:A176"/>
    <mergeCell ref="B174:B176"/>
    <mergeCell ref="C154:C156"/>
    <mergeCell ref="C160:C162"/>
    <mergeCell ref="D160:D162"/>
    <mergeCell ref="B150:B152"/>
    <mergeCell ref="C150:C152"/>
    <mergeCell ref="B144:B146"/>
    <mergeCell ref="A150:A152"/>
    <mergeCell ref="A160:A162"/>
    <mergeCell ref="B160:B162"/>
    <mergeCell ref="A12:I12"/>
    <mergeCell ref="B24:B25"/>
    <mergeCell ref="C24:C25"/>
    <mergeCell ref="A24:A25"/>
    <mergeCell ref="G13:I13"/>
    <mergeCell ref="B18:B19"/>
    <mergeCell ref="A18:A19"/>
    <mergeCell ref="C18:C19"/>
    <mergeCell ref="B20:B22"/>
    <mergeCell ref="A20:A22"/>
    <mergeCell ref="C20:C22"/>
    <mergeCell ref="C26:C28"/>
    <mergeCell ref="D150:D152"/>
    <mergeCell ref="A122:A123"/>
    <mergeCell ref="B122:B123"/>
    <mergeCell ref="A27:A28"/>
    <mergeCell ref="A41:A43"/>
    <mergeCell ref="D154:D156"/>
    <mergeCell ref="C114:C117"/>
    <mergeCell ref="B54:B55"/>
    <mergeCell ref="B26:B28"/>
    <mergeCell ref="A37:A38"/>
    <mergeCell ref="B41:B43"/>
    <mergeCell ref="C41:C43"/>
    <mergeCell ref="A35:A36"/>
    <mergeCell ref="B35:B36"/>
    <mergeCell ref="C35:C36"/>
    <mergeCell ref="A65:A66"/>
    <mergeCell ref="A96:A97"/>
    <mergeCell ref="B65:B66"/>
    <mergeCell ref="C65:C66"/>
    <mergeCell ref="A50:A52"/>
    <mergeCell ref="B50:B52"/>
    <mergeCell ref="C50:C52"/>
    <mergeCell ref="C37:C39"/>
    <mergeCell ref="B37:B39"/>
    <mergeCell ref="C54:C55"/>
    <mergeCell ref="A54:A55"/>
    <mergeCell ref="B71:B73"/>
    <mergeCell ref="C71:C73"/>
    <mergeCell ref="A71:A73"/>
    <mergeCell ref="A68:A69"/>
    <mergeCell ref="B68:B69"/>
    <mergeCell ref="C68:C69"/>
    <mergeCell ref="I154:I156"/>
    <mergeCell ref="E160:E162"/>
    <mergeCell ref="F160:F162"/>
    <mergeCell ref="G160:G162"/>
    <mergeCell ref="I160:I162"/>
    <mergeCell ref="E150:E152"/>
    <mergeCell ref="F150:F152"/>
    <mergeCell ref="G150:G152"/>
    <mergeCell ref="I150:I152"/>
    <mergeCell ref="H150:H152"/>
    <mergeCell ref="H160:H162"/>
    <mergeCell ref="H154:H156"/>
    <mergeCell ref="E154:E156"/>
    <mergeCell ref="F154:F156"/>
    <mergeCell ref="G154:G156"/>
    <mergeCell ref="B96:B97"/>
    <mergeCell ref="C96:C97"/>
    <mergeCell ref="A215:A216"/>
    <mergeCell ref="C215:C216"/>
    <mergeCell ref="A144:A146"/>
    <mergeCell ref="C144:C146"/>
    <mergeCell ref="A154:A156"/>
    <mergeCell ref="B154:B156"/>
    <mergeCell ref="D100:D101"/>
    <mergeCell ref="B98:B99"/>
    <mergeCell ref="C98:C99"/>
    <mergeCell ref="A98:A99"/>
    <mergeCell ref="A100:A101"/>
    <mergeCell ref="A114:A117"/>
    <mergeCell ref="B114:B117"/>
    <mergeCell ref="B103:B104"/>
    <mergeCell ref="C103:C104"/>
    <mergeCell ref="B100:B101"/>
    <mergeCell ref="C100:C101"/>
    <mergeCell ref="A103:A104"/>
    <mergeCell ref="C122:C123"/>
    <mergeCell ref="B120:B121"/>
    <mergeCell ref="A120:A121"/>
    <mergeCell ref="C120:C121"/>
  </mergeCells>
  <printOptions horizontalCentered="1"/>
  <pageMargins left="0.35433070866141736" right="0.39370078740157483" top="1.1811023622047245" bottom="0.19685039370078741" header="0.15748031496062992" footer="0.19685039370078741"/>
  <pageSetup paperSize="9" scale="64" fitToHeight="3" orientation="landscape" r:id="rId1"/>
  <rowBreaks count="7" manualBreakCount="7">
    <brk id="40" max="9" man="1"/>
    <brk id="111" max="9" man="1"/>
    <brk id="135" max="9" man="1"/>
    <brk id="158" max="9" man="1"/>
    <brk id="177" max="9" man="1"/>
    <brk id="193" max="9" man="1"/>
    <brk id="2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6</vt:lpstr>
      <vt:lpstr>2019 год</vt:lpstr>
      <vt:lpstr>'2019 год'!Заголовки_для_печати</vt:lpstr>
      <vt:lpstr>'приложение 6'!Заголовки_для_печати</vt:lpstr>
      <vt:lpstr>'2019 год'!Область_печати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2020-05-06T07:42:57Z</dcterms:modified>
</cp:coreProperties>
</file>